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328" codeName="{316AF4FF-6532-DD95-964C-923D217D005E}"/>
  <workbookPr codeName="ThisWorkbook"/>
  <mc:AlternateContent xmlns:mc="http://schemas.openxmlformats.org/markup-compatibility/2006">
    <mc:Choice Requires="x15">
      <x15ac:absPath xmlns:x15ac="http://schemas.microsoft.com/office/spreadsheetml/2010/11/ac" url="D:\Desktop\c_disk_bk\1.test_system\1.Captain\Captain_A02\Felis_bieti_A01\1. 设计文件\sim\"/>
    </mc:Choice>
  </mc:AlternateContent>
  <xr:revisionPtr revIDLastSave="0" documentId="13_ncr:1_{B6F9AB58-97EA-4BEE-995A-A2C669CE582E}" xr6:coauthVersionLast="45" xr6:coauthVersionMax="45" xr10:uidLastSave="{00000000-0000-0000-0000-000000000000}"/>
  <workbookProtection workbookPassword="CCC8" lockStructure="1"/>
  <bookViews>
    <workbookView xWindow="-120" yWindow="-120" windowWidth="20730" windowHeight="11160" tabRatio="287" xr2:uid="{00000000-000D-0000-FFFF-FFFF00000000}"/>
  </bookViews>
  <sheets>
    <sheet name="Design Regulator" sheetId="1" r:id="rId1"/>
    <sheet name="Schematic &amp; BOM" sheetId="16" r:id="rId2"/>
    <sheet name="EVM"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externalReferences>
    <externalReference r:id="rId11"/>
  </externalReferences>
  <definedNames>
    <definedName name="_Don1">'Variable Management'!$B$23</definedName>
    <definedName name="_Don2" localSheetId="2">'[1]Variable Management'!$B$71</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 localSheetId="2">'[1]Variable Management'!$B$358</definedName>
    <definedName name="Cc1ea">'Variable Management'!$B$133</definedName>
    <definedName name="Cc1ea_u" localSheetId="2">'[1]Variable Management'!$B$363</definedName>
    <definedName name="Cc1ea_u">'Variable Management'!$B$140</definedName>
    <definedName name="Cc2ea" localSheetId="2">'[1]Variable Management'!$B$359</definedName>
    <definedName name="Cc2ea">'Variable Management'!$B$134</definedName>
    <definedName name="Cc2ea_u" localSheetId="2">'[1]Variable Management'!$B$364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 localSheetId="2">'[1]Variable Management'!$B$191</definedName>
    <definedName name="Cin">'Variable Management'!$B$81</definedName>
    <definedName name="Cin_Voltage_Rating">'Variable Management'!$S$66</definedName>
    <definedName name="CinEsrMax" localSheetId="2">'[1]Variable Management'!$B$194</definedName>
    <definedName name="CinEsrMax">'Variable Management'!$B$82</definedName>
    <definedName name="Core_Loss">'Design Regulator'!$M$77</definedName>
    <definedName name="CossBot">'Variable Management'!$B$202</definedName>
    <definedName name="CossTop">'Variable Management'!$B$190</definedName>
    <definedName name="Cout" localSheetId="2">'[1]Variable Management'!$B$171</definedName>
    <definedName name="Cout">'Variable Management'!$B$71</definedName>
    <definedName name="Cout_Voltage_Rating">'Variable Management'!$M$66</definedName>
    <definedName name="CoutEsr" localSheetId="2">'[1]Variable Management'!$B$175</definedName>
    <definedName name="CoutEsr">'Variable Management'!$B$73</definedName>
    <definedName name="Coutmin" localSheetId="2">'[1]Variable Management'!$B$169</definedName>
    <definedName name="Coutmin">'Variable Management'!$B$70</definedName>
    <definedName name="Csb" localSheetId="2">'[1]Variable Management'!$B$232</definedName>
    <definedName name="Csb">'Variable Management'!$B$116</definedName>
    <definedName name="Csby" localSheetId="2">'[1]Variable Management'!$B$233</definedName>
    <definedName name="Csby">'Variable Management'!$B$117</definedName>
    <definedName name="Css" localSheetId="2">'[1]Variable Management'!$B$207</definedName>
    <definedName name="Css">'Variable Management'!$B$90</definedName>
    <definedName name="Css_u" localSheetId="2">'[1]Variable Management'!$B$208</definedName>
    <definedName name="Css_u">'Variable Management'!$B$91</definedName>
    <definedName name="DC_Current_Limit_Setpoint">'Variable Management'!$B$49</definedName>
    <definedName name="Deadtime" localSheetId="2">'[1]Variable Management'!$B$401</definedName>
    <definedName name="Deadtime">'Variable Management'!$B$181</definedName>
    <definedName name="Doff1">'Variable Management'!$B$24</definedName>
    <definedName name="Doff2" localSheetId="2">'[1]Variable Management'!$B$72</definedName>
    <definedName name="Doff2">'Variable Management'!$B$35</definedName>
    <definedName name="Don_Vinmax" localSheetId="2">'[1]Variable Management'!$B$55</definedName>
    <definedName name="Don_Vinmax">'Variable Management'!$B$27</definedName>
    <definedName name="Eadcg">'Variable Management'!$B$122</definedName>
    <definedName name="Fcross" localSheetId="2">'[1]Variable Management'!$B$356</definedName>
    <definedName name="Fcross">'Variable Management'!$B$124</definedName>
    <definedName name="Fesr" localSheetId="2">'[1]Variable Management'!$B$352</definedName>
    <definedName name="Fesr">'Variable Management'!$B$148</definedName>
    <definedName name="Fo">'Variable Management'!$B$146</definedName>
    <definedName name="Fp1_u" localSheetId="2">'[1]Variable Management'!$B$350</definedName>
    <definedName name="Fp1_u">'Variable Management'!$B$151</definedName>
    <definedName name="Fp2_u" localSheetId="2">'[1]Variable Management'!$B$351</definedName>
    <definedName name="Fp2_u">'Variable Management'!$B$152</definedName>
    <definedName name="Fsw" localSheetId="2">'[1]Variable Management'!$B$22</definedName>
    <definedName name="Fsw">'Variable Management'!$B$12</definedName>
    <definedName name="Fz1_u" localSheetId="2">'[1]Variable Management'!$B$369</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 localSheetId="2">'[1]Variable Management'!$B$13</definedName>
    <definedName name="Iout">'Variable Management'!$B$11</definedName>
    <definedName name="Ipp">'Power Calculations'!$B$69</definedName>
    <definedName name="Iq" localSheetId="2">'[1]Variable Management'!$B$403</definedName>
    <definedName name="Iq">'Variable Management'!$B$183</definedName>
    <definedName name="Ireverse" localSheetId="2">'[1]Variable Management'!$B$441</definedName>
    <definedName name="Ireverse">'Variable Management'!$B$211</definedName>
    <definedName name="Iripple1">'Variable Management'!$B$42</definedName>
    <definedName name="Iss">'Variable Management'!$B$89</definedName>
    <definedName name="Iuvlo_hys">'Variable Management'!$B$109</definedName>
    <definedName name="Iuvlo1" localSheetId="2">'[1]Variable Management'!$B$223</definedName>
    <definedName name="Iuvlo1">'Variable Management'!$B$107</definedName>
    <definedName name="Iuvlo2" localSheetId="2">'[1]Variable Management'!$B$224</definedName>
    <definedName name="Iuvlo2">'Variable Management'!$B$108</definedName>
    <definedName name="Kmidband">'Variable Management'!$B$125</definedName>
    <definedName name="Lout1">'Variable Management'!$B$30</definedName>
    <definedName name="Lout2">'Variable Management'!$B$31</definedName>
    <definedName name="Ltc" localSheetId="2">'[1]Variable Management'!$B$389</definedName>
    <definedName name="Ltc">'Variable Management'!$B$169</definedName>
    <definedName name="Pi" localSheetId="2">'[1]Variable Management'!$B$238</definedName>
    <definedName name="Pi">'Variable Management'!$B$154</definedName>
    <definedName name="PICTURE10">INDIRECT('Schematic Management'!$A$2)</definedName>
    <definedName name="PICTURE2" localSheetId="6">INDIRECT('Schematic Management'!$A$2)</definedName>
    <definedName name="_xlnm.Print_Area" localSheetId="0">'Design Regulator'!$A$1:$Q$106</definedName>
    <definedName name="_xlnm.Print_Area" localSheetId="1">'Schematic &amp; BOM'!$A$1:$J$68</definedName>
    <definedName name="Q" localSheetId="2">'[1]Variable Management'!$B$322</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 localSheetId="2">'[1]Variable Management'!$B$357</definedName>
    <definedName name="Rcea1">'Variable Management'!$B$132</definedName>
    <definedName name="Rcea1_u" localSheetId="2">'[1]Variable Management'!$B$362</definedName>
    <definedName name="Rcea1_u">'Variable Management'!$B$139</definedName>
    <definedName name="Rcea2">'Variable Management'!$B$135</definedName>
    <definedName name="Rcea2_u">'Variable Management'!$B$142</definedName>
    <definedName name="RCinEsr" localSheetId="2">'[1]Variable Management'!$B$196</definedName>
    <definedName name="RCinEsr">'Variable Management'!$B$83</definedName>
    <definedName name="RCoutEsr" localSheetId="2">'[1]Variable Management'!$B$175</definedName>
    <definedName name="RCoutEsr">'Variable Management'!$B$73</definedName>
    <definedName name="Rdcr" localSheetId="2">'[1]Variable Management'!$B$69</definedName>
    <definedName name="Rdcr">'Variable Management'!$B$32</definedName>
    <definedName name="RDSON_sense">'Variable Management'!$M$56</definedName>
    <definedName name="RdsonBot">'Variable Management'!$B$198</definedName>
    <definedName name="RdsonBotTc" localSheetId="2">'[1]Variable Management'!$B$424</definedName>
    <definedName name="RdsonBotTc">'Variable Management'!$B$199</definedName>
    <definedName name="RdsonDRB" localSheetId="2">'[1]Variable Management'!$B$398</definedName>
    <definedName name="RdsonDRB">'Variable Management'!$B$178</definedName>
    <definedName name="RdsonDRB2" localSheetId="2">'[1]Variable Management'!$B$399</definedName>
    <definedName name="RdsonDRB2">'Variable Management'!$B$179</definedName>
    <definedName name="RdsonDRT" localSheetId="2">'[1]Variable Management'!$B$395</definedName>
    <definedName name="RdsonDRT">'Variable Management'!$B$175</definedName>
    <definedName name="RdsonDRT2" localSheetId="2">'[1]Variable Management'!$B$396</definedName>
    <definedName name="RdsonDRT2">'Variable Management'!$B$176</definedName>
    <definedName name="RdsonTop">'Variable Management'!$B$185</definedName>
    <definedName name="RdsonTopTc" localSheetId="2">'[1]Variable Management'!$B$407</definedName>
    <definedName name="RdsonTopTc">'Variable Management'!$B$186</definedName>
    <definedName name="Resrmax">'Variable Management'!$B$72</definedName>
    <definedName name="Rfadj" localSheetId="2">'[1]Variable Management'!$B$25</definedName>
    <definedName name="Rfadj">'Variable Management'!$B$15</definedName>
    <definedName name="Rfb2_u" localSheetId="2">'[1]Variable Management'!$B$374</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 localSheetId="2">'[1]Variable Management'!$B$343</definedName>
    <definedName name="Ro">'Variable Management'!$B$153</definedName>
    <definedName name="Rpg">'Variable Management'!$B$111</definedName>
    <definedName name="Rsb">'Variable Management'!$B$112</definedName>
    <definedName name="Rshunt" localSheetId="2">'[1]Variable Management'!$B$158</definedName>
    <definedName name="Rshunt">'Variable Management'!$B$58</definedName>
    <definedName name="Ruvlo1" localSheetId="2">'[1]Variable Management'!$B$214</definedName>
    <definedName name="Ruvlo1">'Variable Management'!$B$97</definedName>
    <definedName name="Ruvlo2" localSheetId="2">'[1]Variable Management'!$B$215</definedName>
    <definedName name="Ruvlo2">'Variable Management'!$B$98</definedName>
    <definedName name="SCH_RDSON">'Schematic Management'!$B$5</definedName>
    <definedName name="SCH_SHUNT">'Schematic Management'!$B$8</definedName>
    <definedName name="Ta" localSheetId="2">'[1]Variable Management'!$B$387</definedName>
    <definedName name="Ta">'Variable Management'!$B$167</definedName>
    <definedName name="Tf">'Variable Management'!$B$217</definedName>
    <definedName name="ThetaCa" localSheetId="2">'[1]Variable Management'!$B$390</definedName>
    <definedName name="ThetaCa">'Variable Management'!$B$170</definedName>
    <definedName name="ThetaJaBot">'Variable Management'!$B$207</definedName>
    <definedName name="ThetaJaCtrl" localSheetId="2">'[1]Variable Management'!$B$444</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 localSheetId="2">'[1]Variable Management'!$B$205</definedName>
    <definedName name="Tss">'Variable Management'!$B$88</definedName>
    <definedName name="Vdd" localSheetId="2">'[1]Variable Management'!$B$393</definedName>
    <definedName name="Vdd">'Variable Management'!$B$173</definedName>
    <definedName name="VfdSky">'Variable Management'!$B$209</definedName>
    <definedName name="Vin" localSheetId="2">'[1]Variable Management'!$B$8</definedName>
    <definedName name="Vin">'Variable Management'!$B$7</definedName>
    <definedName name="Vinmax">'Variable Management'!$B$9</definedName>
    <definedName name="Vinmin">'Variable Management'!$B$8</definedName>
    <definedName name="Vinripple1" localSheetId="2">'[1]Variable Management'!$B$185</definedName>
    <definedName name="Vinripple1">'Variable Management'!$B$78</definedName>
    <definedName name="Vinripple2" localSheetId="2">'[1]Variable Management'!$B$200</definedName>
    <definedName name="Vinripple2">'Variable Management'!$B$84</definedName>
    <definedName name="VINuvlo_off">'Variable Management'!$B$96</definedName>
    <definedName name="VINuvlo_on" localSheetId="2">'[1]Variable Management'!$B$212</definedName>
    <definedName name="VINuvlo_on">'Variable Management'!$B$95</definedName>
    <definedName name="Vout" localSheetId="2">'[1]Variable Management'!$B$12</definedName>
    <definedName name="Vout">'Variable Management'!$B$10</definedName>
    <definedName name="Vramp">'Variable Management'!$B$131</definedName>
    <definedName name="Vref" localSheetId="2">'[1]Variable Management'!$B$24</definedName>
    <definedName name="Vref">'Variable Management'!$B$14</definedName>
    <definedName name="Vripple1" localSheetId="2">'[1]Variable Management'!$B$78</definedName>
    <definedName name="Vripple1">'Variable Management'!$B$41</definedName>
    <definedName name="Vripple2" localSheetId="2">'[1]Variable Management'!$B$176</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 localSheetId="2">'[1]Variable Management'!$B$221</definedName>
    <definedName name="Vuvlo_off">'Variable Management'!$B$105</definedName>
    <definedName name="Vuvlo_on" localSheetId="2">'[1]Variable Management'!$B$220</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69" i="1" l="1"/>
  <c r="E68" i="1"/>
  <c r="E67" i="1"/>
  <c r="E66" i="1"/>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69" i="1" l="1"/>
  <c r="F68" i="1"/>
  <c r="F67" i="1"/>
  <c r="F66" i="1"/>
  <c r="A67" i="1" l="1"/>
  <c r="B190" i="2" l="1"/>
  <c r="B202" i="2"/>
  <c r="B201" i="2"/>
  <c r="L42" i="16" l="1"/>
  <c r="L59" i="16"/>
  <c r="A50" i="16" l="1"/>
  <c r="A49" i="16"/>
  <c r="L50" i="16"/>
  <c r="L49" i="16"/>
  <c r="A43" i="16" l="1"/>
  <c r="L43" i="16" s="1"/>
  <c r="C43" i="16"/>
  <c r="B13" i="2" l="1"/>
  <c r="B15" i="2" s="1"/>
  <c r="A270" i="2" l="1"/>
  <c r="A269" i="2"/>
  <c r="B12" i="2" l="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2" i="1"/>
  <c r="F97" i="2" l="1"/>
  <c r="B98" i="2"/>
  <c r="R17" i="8" s="1"/>
  <c r="S17" i="8" s="1"/>
  <c r="D98" i="2" s="1"/>
  <c r="B101" i="2" s="1"/>
  <c r="B689" i="3"/>
  <c r="N688" i="3"/>
  <c r="F98" i="2" l="1"/>
  <c r="E53" i="1" s="1"/>
  <c r="C61" i="16" s="1"/>
  <c r="D61" i="16" s="1"/>
  <c r="E52"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B4" i="11" s="1"/>
  <c r="D4" i="11" s="1"/>
  <c r="B6" i="11" s="1"/>
  <c r="D6" i="11" s="1"/>
  <c r="D3" i="11"/>
  <c r="B5" i="11"/>
  <c r="D5" i="11" s="1"/>
  <c r="B15" i="4"/>
  <c r="B21" i="4"/>
  <c r="B35"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37" i="8"/>
  <c r="A49" i="8" s="1"/>
  <c r="A61" i="8" s="1"/>
  <c r="A73" i="8" s="1"/>
  <c r="A85" i="8" s="1"/>
  <c r="A97" i="8" s="1"/>
  <c r="A109" i="8" s="1"/>
  <c r="A121" i="8" s="1"/>
  <c r="A133" i="8" s="1"/>
  <c r="A145" i="8" s="1"/>
  <c r="A157" i="8" s="1"/>
  <c r="A38" i="8"/>
  <c r="A39" i="8"/>
  <c r="A40" i="8"/>
  <c r="A52" i="8" s="1"/>
  <c r="A64" i="8" s="1"/>
  <c r="A76" i="8" s="1"/>
  <c r="A88" i="8" s="1"/>
  <c r="A100" i="8" s="1"/>
  <c r="A112" i="8" s="1"/>
  <c r="A124" i="8" s="1"/>
  <c r="A136" i="8" s="1"/>
  <c r="A148" i="8" s="1"/>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45" i="8"/>
  <c r="A57" i="8" s="1"/>
  <c r="A69" i="8" s="1"/>
  <c r="A81" i="8" s="1"/>
  <c r="A93" i="8" s="1"/>
  <c r="A105" i="8" s="1"/>
  <c r="A117" i="8" s="1"/>
  <c r="A129" i="8" s="1"/>
  <c r="A141" i="8" s="1"/>
  <c r="A153" i="8" s="1"/>
  <c r="A48" i="8"/>
  <c r="A60" i="8" s="1"/>
  <c r="A72" i="8" s="1"/>
  <c r="A84" i="8" s="1"/>
  <c r="A96" i="8" s="1"/>
  <c r="A108" i="8" s="1"/>
  <c r="A120" i="8" s="1"/>
  <c r="A132" i="8" s="1"/>
  <c r="A144" i="8" s="1"/>
  <c r="A156" i="8" s="1"/>
  <c r="A50" i="8"/>
  <c r="A62" i="8" s="1"/>
  <c r="A74" i="8" s="1"/>
  <c r="A86" i="8" s="1"/>
  <c r="A98" i="8" s="1"/>
  <c r="A110" i="8" s="1"/>
  <c r="A122" i="8" s="1"/>
  <c r="A134" i="8" s="1"/>
  <c r="A146" i="8" s="1"/>
  <c r="A158" i="8" s="1"/>
  <c r="A51" i="8"/>
  <c r="A63" i="8" s="1"/>
  <c r="A75" i="8" s="1"/>
  <c r="A87" i="8" s="1"/>
  <c r="A99" i="8" s="1"/>
  <c r="A111" i="8" s="1"/>
  <c r="A123" i="8" s="1"/>
  <c r="A135" i="8" s="1"/>
  <c r="A147" i="8" s="1"/>
  <c r="A159" i="8" s="1"/>
  <c r="A53" i="8"/>
  <c r="A65" i="8" s="1"/>
  <c r="A77" i="8" s="1"/>
  <c r="A89" i="8" s="1"/>
  <c r="A101" i="8" s="1"/>
  <c r="A113" i="8" s="1"/>
  <c r="A125" i="8" s="1"/>
  <c r="A137" i="8" s="1"/>
  <c r="A149" i="8" s="1"/>
  <c r="A56" i="8"/>
  <c r="A68" i="8" s="1"/>
  <c r="A80" i="8" s="1"/>
  <c r="A92" i="8" s="1"/>
  <c r="A104" i="8" s="1"/>
  <c r="A116" i="8" s="1"/>
  <c r="A128" i="8" s="1"/>
  <c r="A140" i="8" s="1"/>
  <c r="A152"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5" i="3"/>
  <c r="AQ21" i="3"/>
  <c r="B278" i="2"/>
  <c r="B31" i="3"/>
  <c r="B25" i="3"/>
  <c r="AQ36" i="3"/>
  <c r="A32" i="3"/>
  <c r="AQ32" i="3" s="1"/>
  <c r="AR25" i="3"/>
  <c r="AR22" i="3"/>
  <c r="AQ20" i="3"/>
  <c r="B22" i="3"/>
  <c r="A37" i="3"/>
  <c r="AR37" i="3" s="1"/>
  <c r="A29" i="3"/>
  <c r="AQ29" i="3" s="1"/>
  <c r="AR27" i="3"/>
  <c r="AQ22" i="3"/>
  <c r="B32" i="3"/>
  <c r="AR32" i="3"/>
  <c r="B23" i="3"/>
  <c r="A35" i="3"/>
  <c r="B35" i="3" s="1"/>
  <c r="AR23" i="3"/>
  <c r="AR35" i="3"/>
  <c r="AQ35" i="3" l="1"/>
  <c r="AR19" i="3"/>
  <c r="A33" i="3"/>
  <c r="AQ19" i="3"/>
  <c r="A30" i="3"/>
  <c r="AR26" i="3"/>
  <c r="A28" i="3"/>
  <c r="AR24"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AP138" i="4"/>
  <c r="AP125" i="4"/>
  <c r="M66" i="2"/>
  <c r="AP173" i="4"/>
  <c r="AP157" i="4"/>
  <c r="AL110" i="4"/>
  <c r="AM110" i="4"/>
  <c r="AK111" i="4"/>
  <c r="AK112" i="4"/>
  <c r="AM113" i="4"/>
  <c r="AM114" i="4"/>
  <c r="AK115" i="4"/>
  <c r="AL116" i="4"/>
  <c r="AL119" i="4"/>
  <c r="AL120" i="4"/>
  <c r="AL123" i="4"/>
  <c r="AK124" i="4"/>
  <c r="AL125" i="4"/>
  <c r="AL126" i="4"/>
  <c r="AK127" i="4"/>
  <c r="AK128" i="4"/>
  <c r="AM129" i="4"/>
  <c r="AM130" i="4"/>
  <c r="AK131" i="4"/>
  <c r="AL133" i="4"/>
  <c r="AL134" i="4"/>
  <c r="AK110" i="4"/>
  <c r="AM111" i="4"/>
  <c r="AM112" i="4"/>
  <c r="AK113" i="4"/>
  <c r="AK114" i="4"/>
  <c r="AM115" i="4"/>
  <c r="AL117" i="4"/>
  <c r="AL118" i="4"/>
  <c r="AL121" i="4"/>
  <c r="AL122" i="4"/>
  <c r="AK119" i="4"/>
  <c r="AK123" i="4"/>
  <c r="AM124" i="4"/>
  <c r="AK126" i="4"/>
  <c r="AL127" i="4"/>
  <c r="AL129" i="4"/>
  <c r="AM131" i="4"/>
  <c r="AM132" i="4"/>
  <c r="AM133" i="4"/>
  <c r="AM135" i="4"/>
  <c r="AM136" i="4"/>
  <c r="AM138" i="4"/>
  <c r="AM139" i="4"/>
  <c r="AM140" i="4"/>
  <c r="AM142" i="4"/>
  <c r="AL143" i="4"/>
  <c r="AM144" i="4"/>
  <c r="AK145" i="4"/>
  <c r="AM146" i="4"/>
  <c r="AL113" i="4"/>
  <c r="AK118" i="4"/>
  <c r="AM119" i="4"/>
  <c r="AK122" i="4"/>
  <c r="AM123" i="4"/>
  <c r="AK125" i="4"/>
  <c r="AM126" i="4"/>
  <c r="AM127" i="4"/>
  <c r="AK137" i="4"/>
  <c r="AK141" i="4"/>
  <c r="AM143" i="4"/>
  <c r="AL145" i="4"/>
  <c r="AL114" i="4"/>
  <c r="AL115" i="4"/>
  <c r="AM116" i="4"/>
  <c r="AM117" i="4"/>
  <c r="AM120" i="4"/>
  <c r="AM121" i="4"/>
  <c r="AL124" i="4"/>
  <c r="AM128" i="4"/>
  <c r="AK129" i="4"/>
  <c r="AL130" i="4"/>
  <c r="AL131" i="4"/>
  <c r="AL132" i="4"/>
  <c r="AK133" i="4"/>
  <c r="AM134" i="4"/>
  <c r="AL135" i="4"/>
  <c r="AL136" i="4"/>
  <c r="AM137" i="4"/>
  <c r="AL138" i="4"/>
  <c r="AL139" i="4"/>
  <c r="AL140" i="4"/>
  <c r="AM141" i="4"/>
  <c r="AL142" i="4"/>
  <c r="AK143" i="4"/>
  <c r="AL144" i="4"/>
  <c r="AL146" i="4"/>
  <c r="AL147" i="4"/>
  <c r="AL149" i="4"/>
  <c r="AK150" i="4"/>
  <c r="AK151" i="4"/>
  <c r="AK152" i="4"/>
  <c r="AK153" i="4"/>
  <c r="AM154" i="4"/>
  <c r="AM155" i="4"/>
  <c r="AL156" i="4"/>
  <c r="AL157" i="4"/>
  <c r="AL158" i="4"/>
  <c r="AK159" i="4"/>
  <c r="AK160" i="4"/>
  <c r="AM162" i="4"/>
  <c r="AM163" i="4"/>
  <c r="AM164" i="4"/>
  <c r="AM165" i="4"/>
  <c r="AL166" i="4"/>
  <c r="AL167" i="4"/>
  <c r="AM168" i="4"/>
  <c r="AM170" i="4"/>
  <c r="AM171" i="4"/>
  <c r="AM172" i="4"/>
  <c r="AM173" i="4"/>
  <c r="AL174" i="4"/>
  <c r="AL175" i="4"/>
  <c r="AM176" i="4"/>
  <c r="AL177" i="4"/>
  <c r="AK178" i="4"/>
  <c r="AK181" i="4"/>
  <c r="AL183" i="4"/>
  <c r="AL184" i="4"/>
  <c r="AM185" i="4"/>
  <c r="AM186" i="4"/>
  <c r="AM187" i="4"/>
  <c r="AK116" i="4"/>
  <c r="AM125" i="4"/>
  <c r="AK132" i="4"/>
  <c r="AK134" i="4"/>
  <c r="AK140" i="4"/>
  <c r="AK146" i="4"/>
  <c r="AM148" i="4"/>
  <c r="AK149" i="4"/>
  <c r="AL150" i="4"/>
  <c r="AM151" i="4"/>
  <c r="AL153" i="4"/>
  <c r="AK154" i="4"/>
  <c r="AL155" i="4"/>
  <c r="AM156" i="4"/>
  <c r="AL160" i="4"/>
  <c r="AK161" i="4"/>
  <c r="AK162" i="4"/>
  <c r="AL163" i="4"/>
  <c r="AK167" i="4"/>
  <c r="AK169" i="4"/>
  <c r="AK170" i="4"/>
  <c r="AL171" i="4"/>
  <c r="AK175" i="4"/>
  <c r="AL180" i="4"/>
  <c r="AM183" i="4"/>
  <c r="AK188" i="4"/>
  <c r="AL192" i="4"/>
  <c r="AL196" i="4"/>
  <c r="AK198" i="4"/>
  <c r="AM202" i="4"/>
  <c r="AL208" i="4"/>
  <c r="AK157" i="4"/>
  <c r="AM158" i="4"/>
  <c r="AM159" i="4"/>
  <c r="AK164" i="4"/>
  <c r="AM166" i="4"/>
  <c r="AK172" i="4"/>
  <c r="AM174" i="4"/>
  <c r="AK176" i="4"/>
  <c r="AK177" i="4"/>
  <c r="AL179" i="4"/>
  <c r="AL182" i="4"/>
  <c r="AL187" i="4"/>
  <c r="AM188" i="4"/>
  <c r="AM193" i="4"/>
  <c r="AM197" i="4"/>
  <c r="AL199" i="4"/>
  <c r="AL201" i="4"/>
  <c r="AL205" i="4"/>
  <c r="AL207" i="4"/>
  <c r="AL209" i="4"/>
  <c r="AM118" i="4"/>
  <c r="AK121" i="4"/>
  <c r="AK138" i="4"/>
  <c r="AK142" i="4"/>
  <c r="AM145" i="4"/>
  <c r="AM149" i="4"/>
  <c r="AM150" i="4"/>
  <c r="AL152" i="4"/>
  <c r="AM153" i="4"/>
  <c r="AL154" i="4"/>
  <c r="AK158" i="4"/>
  <c r="AL159" i="4"/>
  <c r="AM160" i="4"/>
  <c r="AL161" i="4"/>
  <c r="AL162" i="4"/>
  <c r="AK165" i="4"/>
  <c r="AK166" i="4"/>
  <c r="AM167" i="4"/>
  <c r="AL169" i="4"/>
  <c r="AL170" i="4"/>
  <c r="AK173" i="4"/>
  <c r="AK174" i="4"/>
  <c r="AM175" i="4"/>
  <c r="AK179" i="4"/>
  <c r="AM180" i="4"/>
  <c r="AL181" i="4"/>
  <c r="AK182" i="4"/>
  <c r="AK187" i="4"/>
  <c r="AL188" i="4"/>
  <c r="AK189" i="4"/>
  <c r="AK190" i="4"/>
  <c r="AK191" i="4"/>
  <c r="AM192" i="4"/>
  <c r="AL193" i="4"/>
  <c r="AK194" i="4"/>
  <c r="AK195" i="4"/>
  <c r="AM196" i="4"/>
  <c r="AL197" i="4"/>
  <c r="AL198" i="4"/>
  <c r="AK199" i="4"/>
  <c r="AL200" i="4"/>
  <c r="AK201" i="4"/>
  <c r="AK203" i="4"/>
  <c r="AM204" i="4"/>
  <c r="AK205" i="4"/>
  <c r="AK206" i="4"/>
  <c r="AK207" i="4"/>
  <c r="AM208" i="4"/>
  <c r="AK209" i="4"/>
  <c r="AL111" i="4"/>
  <c r="AL112" i="4"/>
  <c r="AK120" i="4"/>
  <c r="AL128" i="4"/>
  <c r="AK130" i="4"/>
  <c r="AK135" i="4"/>
  <c r="AL137" i="4"/>
  <c r="AK144" i="4"/>
  <c r="AK147" i="4"/>
  <c r="AM161" i="4"/>
  <c r="AL173" i="4"/>
  <c r="AL190" i="4"/>
  <c r="AM200" i="4"/>
  <c r="AK202" i="4"/>
  <c r="AL206" i="4"/>
  <c r="AJ115" i="4"/>
  <c r="AK117" i="4"/>
  <c r="AM122" i="4"/>
  <c r="AK136" i="4"/>
  <c r="AK139" i="4"/>
  <c r="AL141" i="4"/>
  <c r="AM147" i="4"/>
  <c r="AL148" i="4"/>
  <c r="AL151" i="4"/>
  <c r="AK155" i="4"/>
  <c r="AK156" i="4"/>
  <c r="AM157" i="4"/>
  <c r="AK163" i="4"/>
  <c r="AL164" i="4"/>
  <c r="AL168" i="4"/>
  <c r="AK171" i="4"/>
  <c r="AL172" i="4"/>
  <c r="AL176" i="4"/>
  <c r="AM177" i="4"/>
  <c r="AM178" i="4"/>
  <c r="AM179" i="4"/>
  <c r="AK180" i="4"/>
  <c r="AM182" i="4"/>
  <c r="AK183" i="4"/>
  <c r="AM184" i="4"/>
  <c r="AK185" i="4"/>
  <c r="AL186" i="4"/>
  <c r="AM189" i="4"/>
  <c r="AM190" i="4"/>
  <c r="AM191" i="4"/>
  <c r="AK192" i="4"/>
  <c r="AM194" i="4"/>
  <c r="AM195" i="4"/>
  <c r="AK196" i="4"/>
  <c r="AM199" i="4"/>
  <c r="AM201" i="4"/>
  <c r="AL202" i="4"/>
  <c r="AM203" i="4"/>
  <c r="AK204" i="4"/>
  <c r="AM205" i="4"/>
  <c r="AM206" i="4"/>
  <c r="AM207" i="4"/>
  <c r="AK208" i="4"/>
  <c r="AM209" i="4"/>
  <c r="AL185" i="4"/>
  <c r="AK193" i="4"/>
  <c r="AK197" i="4"/>
  <c r="AK200" i="4"/>
  <c r="AL204" i="4"/>
  <c r="AK148" i="4"/>
  <c r="AM152" i="4"/>
  <c r="AL165" i="4"/>
  <c r="AK168" i="4"/>
  <c r="AM169" i="4"/>
  <c r="AL178" i="4"/>
  <c r="AM181" i="4"/>
  <c r="AK184" i="4"/>
  <c r="AK186" i="4"/>
  <c r="AL189" i="4"/>
  <c r="AL191" i="4"/>
  <c r="AL194" i="4"/>
  <c r="AL195" i="4"/>
  <c r="AM198" i="4"/>
  <c r="AL203" i="4"/>
  <c r="I202" i="4"/>
  <c r="AJ204" i="4"/>
  <c r="AJ170" i="4"/>
  <c r="AJ157" i="4"/>
  <c r="AJ186" i="4"/>
  <c r="AJ122"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AL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L39" i="4"/>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AL23" i="4"/>
  <c r="F63"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AL46" i="4"/>
  <c r="B53" i="4"/>
  <c r="B22" i="4"/>
  <c r="B194" i="2"/>
  <c r="B45" i="4" s="1"/>
  <c r="B14" i="4"/>
  <c r="AL96" i="4"/>
  <c r="AL107"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L57" i="4"/>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L19" i="4"/>
  <c r="AK15" i="4"/>
  <c r="AJ583" i="3"/>
  <c r="B25" i="4"/>
  <c r="B171" i="2"/>
  <c r="AL47" i="4"/>
  <c r="AL38" i="4"/>
  <c r="AL70" i="4"/>
  <c r="AL68" i="4"/>
  <c r="AL26" i="4"/>
  <c r="AL92" i="4"/>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L45" i="4"/>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L79" i="4"/>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L40" i="4"/>
  <c r="AL11" i="4"/>
  <c r="AL72" i="4"/>
  <c r="AL42" i="4"/>
  <c r="AL27" i="4"/>
  <c r="AL30" i="4"/>
  <c r="AK106" i="4"/>
  <c r="AL21" i="4"/>
  <c r="AL86" i="4"/>
  <c r="AK38" i="4"/>
  <c r="AK108" i="4"/>
  <c r="AK14" i="4"/>
  <c r="AK35" i="4"/>
  <c r="AK56" i="4"/>
  <c r="AK79" i="4"/>
  <c r="AK100" i="4"/>
  <c r="AK42" i="4"/>
  <c r="AK34" i="4"/>
  <c r="AK96" i="4"/>
  <c r="AK68" i="4"/>
  <c r="AK47" i="4"/>
  <c r="AL90" i="4"/>
  <c r="AL66" i="4"/>
  <c r="AL35" i="4"/>
  <c r="AL29" i="4"/>
  <c r="AL106" i="4"/>
  <c r="AL105" i="4"/>
  <c r="AL59" i="4"/>
  <c r="AL12" i="4"/>
  <c r="AL74" i="4"/>
  <c r="AL78" i="4"/>
  <c r="AL61" i="4"/>
  <c r="AL85" i="4"/>
  <c r="AL44" i="4"/>
  <c r="AL36" i="4"/>
  <c r="AL48" i="4"/>
  <c r="AL9" i="4"/>
  <c r="AL76" i="4"/>
  <c r="AL17" i="4"/>
  <c r="AL98" i="4"/>
  <c r="AL37" i="4"/>
  <c r="AL95" i="4"/>
  <c r="AL64" i="4"/>
  <c r="AL102" i="4"/>
  <c r="AL104" i="4"/>
  <c r="AL28" i="4"/>
  <c r="AL13" i="4"/>
  <c r="AL33" i="4"/>
  <c r="AL69" i="4"/>
  <c r="AL18" i="4"/>
  <c r="AL100" i="4"/>
  <c r="AL73" i="4"/>
  <c r="AL82" i="4"/>
  <c r="AL67" i="4"/>
  <c r="AL56" i="4"/>
  <c r="AL49" i="4"/>
  <c r="AL53" i="4"/>
  <c r="AL83" i="4"/>
  <c r="AL62" i="4"/>
  <c r="AL94" i="4"/>
  <c r="AL24" i="4"/>
  <c r="AL25" i="4"/>
  <c r="AL71" i="4"/>
  <c r="AL99" i="4"/>
  <c r="AL109" i="4"/>
  <c r="AL75" i="4"/>
  <c r="AL81" i="4"/>
  <c r="AL89" i="4"/>
  <c r="AL60" i="4"/>
  <c r="AL41" i="4"/>
  <c r="AL52" i="4"/>
  <c r="AL84" i="4"/>
  <c r="AL31"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L58" i="4"/>
  <c r="AL22" i="4"/>
  <c r="AK104" i="4"/>
  <c r="AK87" i="4"/>
  <c r="AK66" i="4"/>
  <c r="AL65" i="4"/>
  <c r="AL77" i="4"/>
  <c r="AL16" i="4"/>
  <c r="AL88" i="4"/>
  <c r="AL43" i="4"/>
  <c r="AL103" i="4"/>
  <c r="AL14" i="4"/>
  <c r="AL55" i="4"/>
  <c r="AL54" i="4"/>
  <c r="AL20" i="4"/>
  <c r="AN20" i="4" s="1"/>
  <c r="AL32" i="4"/>
  <c r="AL50" i="4"/>
  <c r="AL97"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L108" i="4"/>
  <c r="AK62" i="4"/>
  <c r="AK46" i="4"/>
  <c r="AK26" i="4"/>
  <c r="AK12" i="4"/>
  <c r="AK13" i="4"/>
  <c r="AK30" i="4"/>
  <c r="AL51" i="4"/>
  <c r="AL15" i="4"/>
  <c r="B11" i="4"/>
  <c r="AK102" i="4"/>
  <c r="AK97" i="4"/>
  <c r="AL93" i="4"/>
  <c r="AK85" i="4"/>
  <c r="AK81" i="4"/>
  <c r="AK75" i="4"/>
  <c r="AK69" i="4"/>
  <c r="AK64" i="4"/>
  <c r="AK59" i="4"/>
  <c r="AK53" i="4"/>
  <c r="AK48" i="4"/>
  <c r="AK43" i="4"/>
  <c r="AK37" i="4"/>
  <c r="AK32" i="4"/>
  <c r="AK27" i="4"/>
  <c r="AK21" i="4"/>
  <c r="AK16" i="4"/>
  <c r="AK109" i="4"/>
  <c r="AK92" i="4"/>
  <c r="AK54" i="4"/>
  <c r="AL87" i="4"/>
  <c r="AL34" i="4"/>
  <c r="AL80" i="4"/>
  <c r="AK105" i="4"/>
  <c r="AL101" i="4"/>
  <c r="AK88" i="4"/>
  <c r="AK86" i="4"/>
  <c r="AK70" i="4"/>
  <c r="AK50" i="4"/>
  <c r="AK11" i="4"/>
  <c r="AL63" i="4"/>
  <c r="B78" i="4"/>
  <c r="B4" i="6"/>
  <c r="B12" i="6" s="1"/>
  <c r="B13" i="6" s="1"/>
  <c r="B13" i="4"/>
  <c r="AJ9" i="3"/>
  <c r="AM10" i="4"/>
  <c r="B44" i="2"/>
  <c r="B42" i="4"/>
  <c r="B43" i="2"/>
  <c r="AK91" i="4"/>
  <c r="B148" i="2"/>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L91" i="4"/>
  <c r="AQ37" i="3"/>
  <c r="A38" i="3"/>
  <c r="B37" i="3"/>
  <c r="AR29" i="3"/>
  <c r="B29" i="3"/>
  <c r="AQ31" i="3"/>
  <c r="AR31" i="3"/>
  <c r="AR36" i="3"/>
  <c r="B36" i="3"/>
  <c r="B27" i="3"/>
  <c r="AJ118" i="4" l="1"/>
  <c r="AJ192" i="4"/>
  <c r="B28" i="3"/>
  <c r="AR28" i="3"/>
  <c r="AQ28" i="3"/>
  <c r="AJ208" i="4"/>
  <c r="AQ30" i="3"/>
  <c r="AR30" i="3"/>
  <c r="B30" i="3"/>
  <c r="AP127" i="4"/>
  <c r="I132" i="4"/>
  <c r="J132" i="4" s="1"/>
  <c r="K132" i="4" s="1"/>
  <c r="AR33" i="3"/>
  <c r="AQ33" i="3"/>
  <c r="B33" i="3"/>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R198" i="4"/>
  <c r="S198" i="4" s="1"/>
  <c r="T198" i="4" s="1"/>
  <c r="AN120" i="4"/>
  <c r="AN173" i="4"/>
  <c r="AN165" i="4"/>
  <c r="AN172" i="4"/>
  <c r="AN161" i="4"/>
  <c r="AN183" i="4"/>
  <c r="AN178" i="4"/>
  <c r="AN160" i="4"/>
  <c r="AN153" i="4"/>
  <c r="AN146" i="4"/>
  <c r="AN141" i="4"/>
  <c r="AN128" i="4"/>
  <c r="AN125" i="4"/>
  <c r="AN112" i="4"/>
  <c r="R132" i="4"/>
  <c r="S132" i="4" s="1"/>
  <c r="T132" i="4" s="1"/>
  <c r="L132" i="4"/>
  <c r="J202" i="4"/>
  <c r="AN204" i="4"/>
  <c r="AN130" i="4"/>
  <c r="AN181" i="4"/>
  <c r="AN176" i="4"/>
  <c r="AN198" i="4"/>
  <c r="AN145" i="4"/>
  <c r="AN114" i="4"/>
  <c r="AN111" i="4"/>
  <c r="AN189" i="4"/>
  <c r="AN168" i="4"/>
  <c r="AN171" i="4"/>
  <c r="AN144" i="4"/>
  <c r="AN164" i="4"/>
  <c r="AN188" i="4"/>
  <c r="AN169" i="4"/>
  <c r="AN162" i="4"/>
  <c r="AN151" i="4"/>
  <c r="X132" i="4"/>
  <c r="Y132" i="4" s="1"/>
  <c r="AD132" i="4"/>
  <c r="U132" i="4"/>
  <c r="V132" i="4" s="1"/>
  <c r="W132" i="4" s="1"/>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0"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B221" i="2" s="1"/>
  <c r="B222" i="2" s="1"/>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59"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8"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N132" i="4" l="1"/>
  <c r="O132" i="4" s="1"/>
  <c r="Q132"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208" i="4"/>
  <c r="AH118" i="4"/>
  <c r="AH119" i="4"/>
  <c r="AH198" i="4"/>
  <c r="AH134" i="4"/>
  <c r="AH127" i="4"/>
  <c r="AH179" i="4"/>
  <c r="AH141" i="4"/>
  <c r="AH183" i="4"/>
  <c r="AH192" i="4"/>
  <c r="AH201" i="4"/>
  <c r="AH121" i="4"/>
  <c r="AH139" i="4"/>
  <c r="AH154" i="4"/>
  <c r="AH200" i="4"/>
  <c r="AH138" i="4"/>
  <c r="AH188" i="4"/>
  <c r="AH205" i="4"/>
  <c r="AH166" i="4"/>
  <c r="AE132" i="4"/>
  <c r="AH132" i="4"/>
  <c r="AH186" i="4"/>
  <c r="AH150" i="4"/>
  <c r="AH171" i="4"/>
  <c r="AH184" i="4"/>
  <c r="AH125" i="4"/>
  <c r="AH170"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M201" i="4"/>
  <c r="AA201" i="4" s="1"/>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M132" i="4"/>
  <c r="AA132" i="4" s="1"/>
  <c r="AB132" i="4"/>
  <c r="AF132" i="4"/>
  <c r="Z132"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4" i="1" s="1"/>
  <c r="E27" i="1"/>
  <c r="AH29" i="4"/>
  <c r="AH32" i="4"/>
  <c r="X10" i="4"/>
  <c r="Y10" i="4" s="1"/>
  <c r="N10" i="4"/>
  <c r="O10" i="4" s="1"/>
  <c r="Q10" i="4" s="1"/>
  <c r="U10" i="4"/>
  <c r="V10" i="4" s="1"/>
  <c r="W10" i="4" s="1"/>
  <c r="R10" i="4"/>
  <c r="S10" i="4" s="1"/>
  <c r="T10" i="4" s="1"/>
  <c r="E26" i="1"/>
  <c r="D48" i="16"/>
  <c r="B74" i="2"/>
  <c r="E35" i="1" s="1"/>
  <c r="B50" i="2"/>
  <c r="R45" i="4"/>
  <c r="S45" i="4" s="1"/>
  <c r="T45" i="4" s="1"/>
  <c r="AD45" i="4"/>
  <c r="E49"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1"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3"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1"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3" i="1" s="1"/>
  <c r="B82" i="2"/>
  <c r="E42"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5" i="1" s="1"/>
  <c r="N25" i="4"/>
  <c r="O25" i="4" s="1"/>
  <c r="Q25" i="4" s="1"/>
  <c r="G36" i="3"/>
  <c r="H36" i="3" s="1"/>
  <c r="BN36" i="3" s="1"/>
  <c r="B15" i="6"/>
  <c r="G11" i="3"/>
  <c r="H11" i="3" s="1"/>
  <c r="BN11" i="3" s="1"/>
  <c r="F18" i="3"/>
  <c r="F25" i="3"/>
  <c r="BM25" i="3" s="1"/>
  <c r="B72" i="2"/>
  <c r="E33" i="1" s="1"/>
  <c r="B84" i="2"/>
  <c r="E44"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6"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3"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Z201" i="4" l="1"/>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C139" i="4" s="1"/>
  <c r="AR139" i="4" s="1"/>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G132" i="4"/>
  <c r="AS132"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AC132"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6" i="1" s="1"/>
  <c r="BN14" i="3"/>
  <c r="B74" i="1"/>
  <c r="BM30" i="3"/>
  <c r="BM18" i="3"/>
  <c r="C225" i="2"/>
  <c r="B225" i="2" s="1"/>
  <c r="B226" i="2" s="1"/>
  <c r="C79" i="4"/>
  <c r="B79" i="4" s="1"/>
  <c r="B80" i="4" s="1"/>
  <c r="B70" i="4"/>
  <c r="BM29" i="3"/>
  <c r="B76"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4"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201" i="4" l="1"/>
  <c r="AC184" i="4"/>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O132" i="4"/>
  <c r="AQ132" i="4" s="1"/>
  <c r="AU132"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R53" i="4" s="1"/>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R70" i="4" s="1"/>
  <c r="AC24" i="4"/>
  <c r="AR24" i="4" s="1"/>
  <c r="AC72" i="4"/>
  <c r="AR72" i="4" s="1"/>
  <c r="AC108" i="4"/>
  <c r="AR108" i="4" s="1"/>
  <c r="AC30" i="4"/>
  <c r="AR30" i="4" s="1"/>
  <c r="AC163" i="4"/>
  <c r="AR163" i="4" s="1"/>
  <c r="AC142" i="4"/>
  <c r="AR142" i="4" s="1"/>
  <c r="AC114" i="4"/>
  <c r="AR114" i="4" s="1"/>
  <c r="AC85" i="4"/>
  <c r="AR85" i="4" s="1"/>
  <c r="AC102" i="4"/>
  <c r="AR102" i="4" s="1"/>
  <c r="AC94" i="4"/>
  <c r="AR94" i="4" s="1"/>
  <c r="AC27" i="4"/>
  <c r="AR27" i="4" s="1"/>
  <c r="AC103" i="4"/>
  <c r="AR103" i="4" s="1"/>
  <c r="AG93" i="4"/>
  <c r="AS93" i="4" s="1"/>
  <c r="AC162" i="4"/>
  <c r="AR162" i="4" s="1"/>
  <c r="AC48" i="4"/>
  <c r="AR48" i="4" s="1"/>
  <c r="AC158" i="4"/>
  <c r="AC46" i="4"/>
  <c r="AR46" i="4" s="1"/>
  <c r="AC43" i="4"/>
  <c r="AR43" i="4" s="1"/>
  <c r="AG19" i="4"/>
  <c r="AS19" i="4" s="1"/>
  <c r="AG67" i="4"/>
  <c r="AS67" i="4" s="1"/>
  <c r="AG17" i="4"/>
  <c r="AG76" i="4"/>
  <c r="AS76" i="4" s="1"/>
  <c r="AG47" i="4"/>
  <c r="AS47" i="4" s="1"/>
  <c r="AC148" i="4"/>
  <c r="AR148" i="4" s="1"/>
  <c r="AG90" i="4"/>
  <c r="AS90" i="4" s="1"/>
  <c r="AG46" i="4"/>
  <c r="AS46" i="4" s="1"/>
  <c r="AG91" i="4"/>
  <c r="AS91" i="4" s="1"/>
  <c r="AC181" i="4"/>
  <c r="AR181" i="4" s="1"/>
  <c r="AC51" i="4"/>
  <c r="AR51" i="4" s="1"/>
  <c r="AG83" i="4"/>
  <c r="AS83" i="4" s="1"/>
  <c r="AG86" i="4"/>
  <c r="AS86" i="4" s="1"/>
  <c r="AG79" i="4"/>
  <c r="AS79" i="4" s="1"/>
  <c r="AG61" i="4"/>
  <c r="AS61" i="4" s="1"/>
  <c r="AG11" i="4"/>
  <c r="AS11" i="4" s="1"/>
  <c r="AG62" i="4"/>
  <c r="AS62" i="4" s="1"/>
  <c r="AG57" i="4"/>
  <c r="AS57" i="4" s="1"/>
  <c r="AG105" i="4"/>
  <c r="AS105" i="4" s="1"/>
  <c r="AC64" i="4"/>
  <c r="AR64" i="4" s="1"/>
  <c r="AC12" i="4"/>
  <c r="AR12" i="4" s="1"/>
  <c r="AC71" i="4"/>
  <c r="AR71" i="4" s="1"/>
  <c r="AC90" i="4"/>
  <c r="AR90" i="4" s="1"/>
  <c r="AC54" i="4"/>
  <c r="AR54" i="4" s="1"/>
  <c r="AC10" i="4"/>
  <c r="AR10" i="4" s="1"/>
  <c r="AC99" i="4"/>
  <c r="AR99" i="4" s="1"/>
  <c r="AC50" i="4"/>
  <c r="AR50" i="4" s="1"/>
  <c r="AC44" i="4"/>
  <c r="AR44" i="4" s="1"/>
  <c r="AC86" i="4"/>
  <c r="AR86" i="4" s="1"/>
  <c r="AC81" i="4"/>
  <c r="AR81" i="4" s="1"/>
  <c r="AC87" i="4"/>
  <c r="AR87" i="4" s="1"/>
  <c r="AC91" i="4"/>
  <c r="AR91" i="4" s="1"/>
  <c r="AC75" i="4"/>
  <c r="AR75" i="4" s="1"/>
  <c r="AC37" i="4"/>
  <c r="AR37" i="4" s="1"/>
  <c r="AC146" i="4"/>
  <c r="AR146" i="4" s="1"/>
  <c r="AC47" i="4"/>
  <c r="AR47" i="4" s="1"/>
  <c r="AC25" i="4"/>
  <c r="AR25" i="4" s="1"/>
  <c r="AC88" i="4"/>
  <c r="AR88" i="4" s="1"/>
  <c r="AC79" i="4"/>
  <c r="AC40" i="4"/>
  <c r="AR40" i="4" s="1"/>
  <c r="AC17" i="4"/>
  <c r="AR17" i="4" s="1"/>
  <c r="AC19" i="4"/>
  <c r="AR19" i="4" s="1"/>
  <c r="AC77" i="4"/>
  <c r="AR77" i="4" s="1"/>
  <c r="AC16" i="4"/>
  <c r="AR16" i="4" s="1"/>
  <c r="AC105" i="4"/>
  <c r="AR105" i="4" s="1"/>
  <c r="AC89" i="4"/>
  <c r="AR89" i="4" s="1"/>
  <c r="AC76" i="4"/>
  <c r="AR76" i="4" s="1"/>
  <c r="AC96" i="4"/>
  <c r="AR96" i="4" s="1"/>
  <c r="AC55" i="4"/>
  <c r="AR55" i="4" s="1"/>
  <c r="AC135" i="4"/>
  <c r="AR135" i="4" s="1"/>
  <c r="AC160" i="4"/>
  <c r="AR160" i="4" s="1"/>
  <c r="AC59" i="4"/>
  <c r="AR59" i="4" s="1"/>
  <c r="AC78" i="4"/>
  <c r="AR78" i="4" s="1"/>
  <c r="AC67" i="4"/>
  <c r="AR67" i="4" s="1"/>
  <c r="AC101" i="4"/>
  <c r="AR101" i="4" s="1"/>
  <c r="AC61" i="4"/>
  <c r="AR61" i="4" s="1"/>
  <c r="AC42" i="4"/>
  <c r="AO42" i="4" s="1"/>
  <c r="AQ42" i="4" s="1"/>
  <c r="AU42" i="4" s="1"/>
  <c r="AC52" i="4"/>
  <c r="AR52" i="4" s="1"/>
  <c r="AC107" i="4"/>
  <c r="AR107" i="4" s="1"/>
  <c r="AC22" i="4"/>
  <c r="AR22" i="4" s="1"/>
  <c r="AC57" i="4"/>
  <c r="AR57" i="4" s="1"/>
  <c r="AC117" i="4"/>
  <c r="AR117" i="4" s="1"/>
  <c r="AC23" i="4"/>
  <c r="AR23" i="4" s="1"/>
  <c r="AC35" i="4"/>
  <c r="AR35" i="4" s="1"/>
  <c r="AC33" i="4"/>
  <c r="AR33" i="4" s="1"/>
  <c r="AC29" i="4"/>
  <c r="AR29" i="4" s="1"/>
  <c r="AC60" i="4"/>
  <c r="AR60" i="4" s="1"/>
  <c r="AC13" i="4"/>
  <c r="AR13" i="4" s="1"/>
  <c r="AC45" i="4"/>
  <c r="AR45" i="4" s="1"/>
  <c r="AC63" i="4"/>
  <c r="AR63" i="4" s="1"/>
  <c r="AC92" i="4"/>
  <c r="AR92" i="4" s="1"/>
  <c r="AC69" i="4"/>
  <c r="AR69" i="4" s="1"/>
  <c r="AC39" i="4"/>
  <c r="AR39" i="4" s="1"/>
  <c r="AC93" i="4"/>
  <c r="AR93" i="4" s="1"/>
  <c r="AC28" i="4"/>
  <c r="AR28" i="4" s="1"/>
  <c r="AC36" i="4"/>
  <c r="AR36" i="4" s="1"/>
  <c r="AG77" i="4"/>
  <c r="AS77" i="4" s="1"/>
  <c r="AG40" i="4"/>
  <c r="AS40" i="4" s="1"/>
  <c r="AG50" i="4"/>
  <c r="AS50" i="4" s="1"/>
  <c r="AG25" i="4"/>
  <c r="AS25" i="4" s="1"/>
  <c r="AC175" i="4"/>
  <c r="AC15" i="4"/>
  <c r="AR15" i="4" s="1"/>
  <c r="AG73" i="4"/>
  <c r="AS73" i="4" s="1"/>
  <c r="AG41" i="4"/>
  <c r="AS41" i="4" s="1"/>
  <c r="AC176" i="4"/>
  <c r="AR176" i="4" s="1"/>
  <c r="AC82" i="4"/>
  <c r="AR82" i="4" s="1"/>
  <c r="AC26" i="4"/>
  <c r="AR26" i="4" s="1"/>
  <c r="AC31" i="4"/>
  <c r="AR31" i="4" s="1"/>
  <c r="AC14" i="4"/>
  <c r="AR14" i="4" s="1"/>
  <c r="AC18" i="4"/>
  <c r="AR18" i="4" s="1"/>
  <c r="AC38" i="4"/>
  <c r="AR38" i="4" s="1"/>
  <c r="AC34" i="4"/>
  <c r="AR34" i="4" s="1"/>
  <c r="AC80" i="4"/>
  <c r="AR80" i="4" s="1"/>
  <c r="AC156" i="4"/>
  <c r="AR156" i="4" s="1"/>
  <c r="AC149" i="4"/>
  <c r="AC32" i="4"/>
  <c r="AR32" i="4" s="1"/>
  <c r="AC66" i="4"/>
  <c r="AR66" i="4" s="1"/>
  <c r="AC84" i="4"/>
  <c r="AR84" i="4" s="1"/>
  <c r="AC95" i="4"/>
  <c r="AR95" i="4" s="1"/>
  <c r="AC73" i="4"/>
  <c r="AR73" i="4" s="1"/>
  <c r="AC62" i="4"/>
  <c r="AR62" i="4" s="1"/>
  <c r="AC112" i="4"/>
  <c r="AR112" i="4" s="1"/>
  <c r="AC74" i="4"/>
  <c r="AR74" i="4" s="1"/>
  <c r="AC106" i="4"/>
  <c r="AR106" i="4" s="1"/>
  <c r="AG102" i="4"/>
  <c r="AS102" i="4" s="1"/>
  <c r="AC195" i="4"/>
  <c r="AR195" i="4" s="1"/>
  <c r="AC144" i="4"/>
  <c r="AR144" i="4" s="1"/>
  <c r="AC41" i="4"/>
  <c r="AR41" i="4" s="1"/>
  <c r="AC11" i="4"/>
  <c r="AR11" i="4" s="1"/>
  <c r="AC58" i="4"/>
  <c r="AR58" i="4" s="1"/>
  <c r="AC98" i="4"/>
  <c r="AR98" i="4" s="1"/>
  <c r="AC20" i="4"/>
  <c r="AR20" i="4" s="1"/>
  <c r="AC180" i="4"/>
  <c r="AR180" i="4" s="1"/>
  <c r="AC203" i="4"/>
  <c r="AR203" i="4" s="1"/>
  <c r="AC100" i="4"/>
  <c r="AR100" i="4" s="1"/>
  <c r="AC49" i="4"/>
  <c r="AR49" i="4" s="1"/>
  <c r="AC9" i="4"/>
  <c r="AR9" i="4" s="1"/>
  <c r="AC104" i="4"/>
  <c r="AR104" i="4" s="1"/>
  <c r="AC56" i="4"/>
  <c r="AR56" i="4" s="1"/>
  <c r="AC97" i="4"/>
  <c r="AR97" i="4" s="1"/>
  <c r="AC109" i="4"/>
  <c r="AR109" i="4" s="1"/>
  <c r="AC68" i="4"/>
  <c r="AR68" i="4" s="1"/>
  <c r="AC21" i="4"/>
  <c r="AR21" i="4" s="1"/>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O139" i="4"/>
  <c r="AQ139" i="4" s="1"/>
  <c r="AU139" i="4" s="1"/>
  <c r="AC145" i="4"/>
  <c r="AR145" i="4" s="1"/>
  <c r="AR132" i="4"/>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84" i="4"/>
  <c r="AO184" i="4"/>
  <c r="AQ184" i="4" s="1"/>
  <c r="AU184" i="4" s="1"/>
  <c r="AR111" i="4"/>
  <c r="AO111" i="4"/>
  <c r="AQ111" i="4" s="1"/>
  <c r="AU111" i="4" s="1"/>
  <c r="AR201" i="4"/>
  <c r="AO201" i="4"/>
  <c r="AQ201" i="4" s="1"/>
  <c r="AU201" i="4" s="1"/>
  <c r="AC168" i="4"/>
  <c r="AC194" i="4"/>
  <c r="A265" i="2"/>
  <c r="AE65" i="4"/>
  <c r="AH65" i="4"/>
  <c r="R6" i="8"/>
  <c r="R5" i="8"/>
  <c r="S5" i="8" s="1"/>
  <c r="B265" i="2"/>
  <c r="C265" i="2"/>
  <c r="BM40" i="3"/>
  <c r="C53" i="16"/>
  <c r="D53" i="16" s="1"/>
  <c r="B139" i="2"/>
  <c r="A253" i="2" s="1"/>
  <c r="C39" i="16"/>
  <c r="D39" i="16" s="1"/>
  <c r="A237" i="2"/>
  <c r="B237" i="2"/>
  <c r="B142" i="2"/>
  <c r="A256" i="2" s="1"/>
  <c r="B77"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7" i="1" s="1"/>
  <c r="B75"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5" i="1" s="1"/>
  <c r="R30" i="8"/>
  <c r="R28" i="8"/>
  <c r="AQ41" i="3"/>
  <c r="AR41" i="3"/>
  <c r="A42" i="3"/>
  <c r="B41" i="3"/>
  <c r="D41" i="3"/>
  <c r="C41" i="3"/>
  <c r="G41" i="3"/>
  <c r="H41" i="3" s="1"/>
  <c r="F41" i="3"/>
  <c r="BN40" i="3"/>
  <c r="AO136" i="4" l="1"/>
  <c r="AQ136" i="4" s="1"/>
  <c r="AU136" i="4" s="1"/>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O22" i="4"/>
  <c r="AQ22" i="4" s="1"/>
  <c r="AU22" i="4" s="1"/>
  <c r="AR143" i="4"/>
  <c r="AO162" i="4"/>
  <c r="AQ162" i="4" s="1"/>
  <c r="AU162" i="4" s="1"/>
  <c r="AO41" i="4"/>
  <c r="AQ41" i="4" s="1"/>
  <c r="AU41" i="4" s="1"/>
  <c r="AO36" i="4"/>
  <c r="AQ36" i="4" s="1"/>
  <c r="AU36" i="4" s="1"/>
  <c r="AO72" i="4"/>
  <c r="AQ72" i="4" s="1"/>
  <c r="AU72" i="4" s="1"/>
  <c r="AR175" i="4"/>
  <c r="AO97" i="4"/>
  <c r="AQ97" i="4" s="1"/>
  <c r="AU97" i="4" s="1"/>
  <c r="AO92" i="4"/>
  <c r="AQ92" i="4" s="1"/>
  <c r="AU92" i="4" s="1"/>
  <c r="AO146" i="4"/>
  <c r="AQ146" i="4" s="1"/>
  <c r="AU146" i="4" s="1"/>
  <c r="AO163" i="4"/>
  <c r="AQ163" i="4" s="1"/>
  <c r="AU163" i="4" s="1"/>
  <c r="AO73" i="4"/>
  <c r="AQ73" i="4" s="1"/>
  <c r="AU73" i="4" s="1"/>
  <c r="AO51" i="4"/>
  <c r="AQ51" i="4" s="1"/>
  <c r="AU51" i="4" s="1"/>
  <c r="AO107" i="4"/>
  <c r="AQ107" i="4" s="1"/>
  <c r="AU107" i="4" s="1"/>
  <c r="AO155" i="4"/>
  <c r="AQ155" i="4" s="1"/>
  <c r="AU155" i="4" s="1"/>
  <c r="AO174" i="4"/>
  <c r="AQ174" i="4" s="1"/>
  <c r="AU174" i="4" s="1"/>
  <c r="AO35" i="4"/>
  <c r="AQ35" i="4" s="1"/>
  <c r="AU35" i="4" s="1"/>
  <c r="AO78" i="4"/>
  <c r="AQ78" i="4" s="1"/>
  <c r="AU78" i="4" s="1"/>
  <c r="AO50" i="4"/>
  <c r="AQ50" i="4" s="1"/>
  <c r="AU50" i="4" s="1"/>
  <c r="AO34" i="4"/>
  <c r="AQ34" i="4" s="1"/>
  <c r="AU34" i="4" s="1"/>
  <c r="AO30" i="4"/>
  <c r="AQ30" i="4" s="1"/>
  <c r="AU30" i="4" s="1"/>
  <c r="AO181" i="4"/>
  <c r="AQ181" i="4" s="1"/>
  <c r="AU181" i="4" s="1"/>
  <c r="AO81" i="4"/>
  <c r="AQ81" i="4" s="1"/>
  <c r="AU81" i="4" s="1"/>
  <c r="AO117" i="4"/>
  <c r="AQ117" i="4" s="1"/>
  <c r="AU117" i="4" s="1"/>
  <c r="AO52" i="4"/>
  <c r="AQ52" i="4" s="1"/>
  <c r="AU52" i="4" s="1"/>
  <c r="AO67" i="4"/>
  <c r="AQ67" i="4" s="1"/>
  <c r="AU67" i="4" s="1"/>
  <c r="AO91" i="4"/>
  <c r="AQ91" i="4" s="1"/>
  <c r="AU91" i="4" s="1"/>
  <c r="AO49" i="4"/>
  <c r="AQ49" i="4" s="1"/>
  <c r="AU49" i="4" s="1"/>
  <c r="AO191" i="4"/>
  <c r="AQ191" i="4" s="1"/>
  <c r="AU191" i="4" s="1"/>
  <c r="AO209" i="4"/>
  <c r="AQ209" i="4" s="1"/>
  <c r="AU209" i="4" s="1"/>
  <c r="B308" i="2" s="1"/>
  <c r="AO114" i="4"/>
  <c r="AQ114" i="4" s="1"/>
  <c r="AU114" i="4" s="1"/>
  <c r="AO94" i="4"/>
  <c r="AQ94" i="4" s="1"/>
  <c r="AU94" i="4" s="1"/>
  <c r="AO45" i="4"/>
  <c r="AQ45" i="4" s="1"/>
  <c r="AU45" i="4" s="1"/>
  <c r="AO24" i="4"/>
  <c r="AQ24" i="4" s="1"/>
  <c r="AU24" i="4" s="1"/>
  <c r="AO19" i="4"/>
  <c r="AQ19" i="4" s="1"/>
  <c r="AU19" i="4" s="1"/>
  <c r="AO55" i="4"/>
  <c r="AQ55" i="4" s="1"/>
  <c r="AU55" i="4" s="1"/>
  <c r="AO190" i="4"/>
  <c r="AQ190" i="4" s="1"/>
  <c r="AU190" i="4" s="1"/>
  <c r="AR42" i="4"/>
  <c r="AO58" i="4"/>
  <c r="AQ58" i="4" s="1"/>
  <c r="AU58" i="4" s="1"/>
  <c r="AO93" i="4"/>
  <c r="AQ93" i="4" s="1"/>
  <c r="AU93" i="4" s="1"/>
  <c r="AO10" i="4"/>
  <c r="AQ10" i="4" s="1"/>
  <c r="AU10" i="4" s="1"/>
  <c r="AO68" i="4"/>
  <c r="AQ68" i="4" s="1"/>
  <c r="AU68" i="4" s="1"/>
  <c r="AO48" i="4"/>
  <c r="AQ48" i="4" s="1"/>
  <c r="AU48" i="4" s="1"/>
  <c r="AO84" i="4"/>
  <c r="AQ84" i="4" s="1"/>
  <c r="AU84" i="4" s="1"/>
  <c r="AO63" i="4"/>
  <c r="AQ63" i="4" s="1"/>
  <c r="AU63" i="4" s="1"/>
  <c r="AO33" i="4"/>
  <c r="AQ33" i="4" s="1"/>
  <c r="AU33" i="4" s="1"/>
  <c r="AR158" i="4"/>
  <c r="AO79" i="4"/>
  <c r="AQ79" i="4" s="1"/>
  <c r="AU79" i="4" s="1"/>
  <c r="AO17" i="4"/>
  <c r="AQ17" i="4" s="1"/>
  <c r="AU17" i="4" s="1"/>
  <c r="AO15" i="4"/>
  <c r="AQ15" i="4" s="1"/>
  <c r="AU15" i="4" s="1"/>
  <c r="AO71" i="4"/>
  <c r="AQ71" i="4" s="1"/>
  <c r="AU71" i="4" s="1"/>
  <c r="AO57" i="4"/>
  <c r="AQ57" i="4" s="1"/>
  <c r="AU57" i="4" s="1"/>
  <c r="AO88" i="4"/>
  <c r="AQ88" i="4" s="1"/>
  <c r="AU88" i="4" s="1"/>
  <c r="AO37" i="4"/>
  <c r="AQ37" i="4" s="1"/>
  <c r="AU37"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29" i="4"/>
  <c r="AQ29" i="4" s="1"/>
  <c r="AU29" i="4" s="1"/>
  <c r="AO75" i="4"/>
  <c r="AQ75" i="4" s="1"/>
  <c r="AU75" i="4" s="1"/>
  <c r="AO27" i="4"/>
  <c r="AQ27" i="4" s="1"/>
  <c r="AU27" i="4" s="1"/>
  <c r="AO180" i="4"/>
  <c r="AQ180" i="4" s="1"/>
  <c r="AU180" i="4" s="1"/>
  <c r="AO135" i="4"/>
  <c r="AQ135" i="4" s="1"/>
  <c r="AU135" i="4" s="1"/>
  <c r="AO203" i="4"/>
  <c r="AQ203" i="4" s="1"/>
  <c r="AU203" i="4" s="1"/>
  <c r="AO21" i="4"/>
  <c r="AQ21" i="4" s="1"/>
  <c r="AU21" i="4" s="1"/>
  <c r="AO98" i="4"/>
  <c r="AQ98" i="4" s="1"/>
  <c r="AU98" i="4" s="1"/>
  <c r="AO90" i="4"/>
  <c r="AQ90" i="4" s="1"/>
  <c r="AU90" i="4" s="1"/>
  <c r="AO105" i="4"/>
  <c r="AQ105" i="4" s="1"/>
  <c r="AU105" i="4" s="1"/>
  <c r="AO101" i="4"/>
  <c r="AQ101" i="4" s="1"/>
  <c r="AU101" i="4" s="1"/>
  <c r="AO144" i="4"/>
  <c r="AQ144" i="4" s="1"/>
  <c r="AU144" i="4" s="1"/>
  <c r="AR149" i="4"/>
  <c r="AO87" i="4"/>
  <c r="AQ87" i="4" s="1"/>
  <c r="AU87" i="4" s="1"/>
  <c r="AO77" i="4"/>
  <c r="AQ77" i="4" s="1"/>
  <c r="AU77" i="4" s="1"/>
  <c r="AS17" i="4"/>
  <c r="AR79" i="4"/>
  <c r="AO76" i="4"/>
  <c r="AQ76" i="4" s="1"/>
  <c r="AU76" i="4" s="1"/>
  <c r="AO95" i="4"/>
  <c r="AQ95" i="4" s="1"/>
  <c r="AU95" i="4" s="1"/>
  <c r="AO56" i="4"/>
  <c r="AQ56" i="4" s="1"/>
  <c r="AU56" i="4" s="1"/>
  <c r="AO60" i="4"/>
  <c r="AQ60" i="4" s="1"/>
  <c r="AU60" i="4" s="1"/>
  <c r="AO74" i="4"/>
  <c r="AQ74" i="4" s="1"/>
  <c r="AU74" i="4" s="1"/>
  <c r="AO28" i="4"/>
  <c r="AQ28" i="4" s="1"/>
  <c r="AU28" i="4" s="1"/>
  <c r="AO26" i="4"/>
  <c r="AQ26" i="4" s="1"/>
  <c r="AU26" i="4" s="1"/>
  <c r="AO47" i="4"/>
  <c r="AQ47" i="4" s="1"/>
  <c r="AU47" i="4" s="1"/>
  <c r="AO40" i="4"/>
  <c r="AQ40" i="4" s="1"/>
  <c r="AU40" i="4" s="1"/>
  <c r="AO83" i="4"/>
  <c r="AQ83" i="4" s="1"/>
  <c r="AU83" i="4" s="1"/>
  <c r="AO106" i="4"/>
  <c r="AQ106" i="4" s="1"/>
  <c r="AU106" i="4" s="1"/>
  <c r="AG65" i="4"/>
  <c r="AS65" i="4" s="1"/>
  <c r="AO145" i="4"/>
  <c r="AQ145" i="4" s="1"/>
  <c r="AU145" i="4" s="1"/>
  <c r="AO69" i="4"/>
  <c r="AQ69" i="4" s="1"/>
  <c r="AU69" i="4" s="1"/>
  <c r="AO59" i="4"/>
  <c r="AQ59" i="4" s="1"/>
  <c r="AU59" i="4" s="1"/>
  <c r="AO53" i="4"/>
  <c r="AQ53" i="4" s="1"/>
  <c r="AU53" i="4" s="1"/>
  <c r="AO31" i="4"/>
  <c r="AQ31" i="4" s="1"/>
  <c r="AU31" i="4" s="1"/>
  <c r="AO64" i="4"/>
  <c r="AQ64" i="4" s="1"/>
  <c r="AU64" i="4" s="1"/>
  <c r="AO46" i="4"/>
  <c r="AQ46" i="4" s="1"/>
  <c r="AU46" i="4" s="1"/>
  <c r="AO32" i="4"/>
  <c r="AQ32" i="4" s="1"/>
  <c r="AU32" i="4" s="1"/>
  <c r="AO61" i="4"/>
  <c r="AQ61" i="4" s="1"/>
  <c r="AU61" i="4" s="1"/>
  <c r="AO54" i="4"/>
  <c r="AQ54" i="4" s="1"/>
  <c r="AU54" i="4" s="1"/>
  <c r="AO43" i="4"/>
  <c r="AQ43" i="4" s="1"/>
  <c r="AU43" i="4" s="1"/>
  <c r="AO96" i="4"/>
  <c r="AQ96" i="4" s="1"/>
  <c r="AU96" i="4" s="1"/>
  <c r="AO20" i="4"/>
  <c r="AQ20" i="4" s="1"/>
  <c r="AU20" i="4" s="1"/>
  <c r="AO25" i="4"/>
  <c r="AQ25" i="4" s="1"/>
  <c r="AU25" i="4" s="1"/>
  <c r="AO16" i="4"/>
  <c r="AQ16" i="4" s="1"/>
  <c r="AU16" i="4" s="1"/>
  <c r="AO23" i="4"/>
  <c r="AQ23" i="4" s="1"/>
  <c r="AU23" i="4" s="1"/>
  <c r="AO80" i="4"/>
  <c r="AQ80" i="4" s="1"/>
  <c r="AU80" i="4" s="1"/>
  <c r="AO62" i="4"/>
  <c r="AQ62" i="4" s="1"/>
  <c r="AU62" i="4" s="1"/>
  <c r="AO11" i="4"/>
  <c r="AQ11" i="4" s="1"/>
  <c r="AU11" i="4" s="1"/>
  <c r="AO70" i="4"/>
  <c r="AQ70" i="4" s="1"/>
  <c r="AU70" i="4" s="1"/>
  <c r="AO38" i="4"/>
  <c r="AQ38" i="4" s="1"/>
  <c r="AU38" i="4" s="1"/>
  <c r="AO44" i="4"/>
  <c r="AQ44" i="4" s="1"/>
  <c r="AU44" i="4" s="1"/>
  <c r="AO102" i="4"/>
  <c r="AQ102" i="4" s="1"/>
  <c r="AU102" i="4" s="1"/>
  <c r="AO9" i="4"/>
  <c r="AQ9" i="4" s="1"/>
  <c r="AU9" i="4" s="1"/>
  <c r="AO176" i="4"/>
  <c r="AQ176" i="4" s="1"/>
  <c r="AU176" i="4" s="1"/>
  <c r="AO14" i="4"/>
  <c r="AQ14" i="4" s="1"/>
  <c r="AU14" i="4" s="1"/>
  <c r="AO66" i="4"/>
  <c r="AQ66" i="4" s="1"/>
  <c r="AU66" i="4" s="1"/>
  <c r="AC65" i="4"/>
  <c r="AR65" i="4" s="1"/>
  <c r="AO100" i="4"/>
  <c r="AQ100" i="4" s="1"/>
  <c r="AU100" i="4" s="1"/>
  <c r="AR167" i="4"/>
  <c r="AO18" i="4"/>
  <c r="AQ18" i="4" s="1"/>
  <c r="AU18" i="4" s="1"/>
  <c r="AO104" i="4"/>
  <c r="AQ104" i="4" s="1"/>
  <c r="AU104" i="4" s="1"/>
  <c r="AO39" i="4"/>
  <c r="AQ39" i="4" s="1"/>
  <c r="AU39" i="4" s="1"/>
  <c r="AO12" i="4"/>
  <c r="AQ12" i="4" s="1"/>
  <c r="AU12" i="4" s="1"/>
  <c r="AO103" i="4"/>
  <c r="AQ103" i="4" s="1"/>
  <c r="AU103" i="4" s="1"/>
  <c r="AO13" i="4"/>
  <c r="AQ13" i="4" s="1"/>
  <c r="AU1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O65" i="4" l="1"/>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H15" i="3" s="1"/>
  <c r="AF11" i="3"/>
  <c r="AF32" i="3"/>
  <c r="AF34" i="3"/>
  <c r="AF18" i="3"/>
  <c r="AF25" i="3"/>
  <c r="AF682" i="3"/>
  <c r="AE682" i="3"/>
  <c r="AE34" i="3"/>
  <c r="AF19" i="3"/>
  <c r="AF14" i="3"/>
  <c r="AF10" i="3"/>
  <c r="AF36" i="3"/>
  <c r="M40" i="3"/>
  <c r="AE26" i="3"/>
  <c r="A255" i="2"/>
  <c r="AF31" i="3"/>
  <c r="AF40" i="3"/>
  <c r="P31" i="3"/>
  <c r="F73"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AG19" i="3" s="1"/>
  <c r="M20" i="3"/>
  <c r="M18" i="3"/>
  <c r="AE28" i="3"/>
  <c r="M9" i="3"/>
  <c r="M12" i="3"/>
  <c r="P25" i="3"/>
  <c r="P38" i="3"/>
  <c r="P33" i="3"/>
  <c r="P39" i="3"/>
  <c r="AE36" i="3"/>
  <c r="M32" i="3"/>
  <c r="M30" i="3"/>
  <c r="P34" i="3"/>
  <c r="O34" i="3"/>
  <c r="M17" i="3"/>
  <c r="M16" i="3"/>
  <c r="M33" i="3"/>
  <c r="M683" i="3"/>
  <c r="AF42" i="3"/>
  <c r="AH42" i="3" s="1"/>
  <c r="AF41" i="3"/>
  <c r="AE33" i="3"/>
  <c r="AG33" i="3" s="1"/>
  <c r="A684" i="3"/>
  <c r="AF684" i="3" s="1"/>
  <c r="BN43" i="3"/>
  <c r="BM43" i="3"/>
  <c r="AR44" i="3"/>
  <c r="B44" i="3"/>
  <c r="AQ44" i="3"/>
  <c r="A45" i="3"/>
  <c r="C44" i="3"/>
  <c r="AM44" i="3"/>
  <c r="AK44" i="3"/>
  <c r="AD44" i="3"/>
  <c r="O44" i="3"/>
  <c r="AF44" i="3"/>
  <c r="AE44" i="3"/>
  <c r="M44" i="3"/>
  <c r="P44" i="3"/>
  <c r="F44" i="3"/>
  <c r="D44" i="3"/>
  <c r="G44" i="3"/>
  <c r="H44" i="3" s="1"/>
  <c r="AG16" i="3" l="1"/>
  <c r="AG20" i="3"/>
  <c r="AN25" i="3"/>
  <c r="AN22" i="3"/>
  <c r="AO29" i="3"/>
  <c r="AO12" i="3"/>
  <c r="T38" i="3"/>
  <c r="T27" i="3"/>
  <c r="T26" i="3"/>
  <c r="F75"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6"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4"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T15" i="3" s="1"/>
  <c r="AH17" i="3"/>
  <c r="AH39" i="3"/>
  <c r="AG42" i="3"/>
  <c r="AT42" i="3" s="1"/>
  <c r="AG34" i="3"/>
  <c r="AH31" i="3"/>
  <c r="AG31" i="3"/>
  <c r="AH41" i="3"/>
  <c r="AH13" i="3"/>
  <c r="AH40" i="3"/>
  <c r="M684" i="3"/>
  <c r="AH20" i="3"/>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T19" i="3" s="1"/>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X17" i="3" l="1"/>
  <c r="AT16" i="3"/>
  <c r="AT20" i="3"/>
  <c r="X683" i="3"/>
  <c r="AU12"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Y12" i="3" s="1"/>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V15" i="3" s="1"/>
  <c r="AX29" i="3"/>
  <c r="AW34" i="3"/>
  <c r="AX9" i="3"/>
  <c r="AX34" i="3"/>
  <c r="AX39" i="3"/>
  <c r="AX11" i="3"/>
  <c r="AX682" i="3"/>
  <c r="AY682" i="3" s="1"/>
  <c r="AW28" i="3"/>
  <c r="AU9" i="3"/>
  <c r="AU3" i="3" s="1"/>
  <c r="AU4" i="3" s="1"/>
  <c r="AT9" i="3"/>
  <c r="AT3" i="3" s="1"/>
  <c r="AT4" i="3" s="1"/>
  <c r="AW9" i="3"/>
  <c r="AT21" i="3"/>
  <c r="AX42" i="3"/>
  <c r="AI9" i="3"/>
  <c r="AU42" i="3"/>
  <c r="AV42" i="3" s="1"/>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W20" i="3"/>
  <c r="X684" i="3"/>
  <c r="AW32" i="3"/>
  <c r="AX36" i="3"/>
  <c r="AW35" i="3"/>
  <c r="AU32" i="3"/>
  <c r="AU36" i="3"/>
  <c r="AU19" i="3"/>
  <c r="AV19" i="3" s="1"/>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Y16" i="3" l="1"/>
  <c r="AO685" i="3"/>
  <c r="AY21" i="3"/>
  <c r="AV20" i="3"/>
  <c r="AV11" i="3"/>
  <c r="BA29" i="3"/>
  <c r="BB29" i="3" s="1"/>
  <c r="AV12" i="3"/>
  <c r="BC12" i="3" s="1"/>
  <c r="BD12" i="3" s="1"/>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C43" i="3" s="1"/>
  <c r="BG43" i="3" s="1"/>
  <c r="BH43" i="3" s="1"/>
  <c r="BI43" i="3" s="1"/>
  <c r="BA27" i="3"/>
  <c r="BQ27" i="3" s="1"/>
  <c r="AV16" i="3"/>
  <c r="AV24" i="3"/>
  <c r="AO687" i="3"/>
  <c r="BA18" i="3"/>
  <c r="BB18" i="3" s="1"/>
  <c r="AY39" i="3"/>
  <c r="BA34" i="3"/>
  <c r="BF34" i="3" s="1"/>
  <c r="BJ33" i="3" s="1"/>
  <c r="BK33"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BC15" i="3" s="1"/>
  <c r="BG15" i="3" s="1"/>
  <c r="BH15" i="3" s="1"/>
  <c r="BI15" i="3" s="1"/>
  <c r="AV34" i="3"/>
  <c r="BA15" i="3"/>
  <c r="BQ15" i="3" s="1"/>
  <c r="BA42" i="3"/>
  <c r="BQ42" i="3" s="1"/>
  <c r="AY42" i="3"/>
  <c r="BC42" i="3" s="1"/>
  <c r="AV36" i="3"/>
  <c r="AV31" i="3"/>
  <c r="BA19" i="3"/>
  <c r="BB19" i="3" s="1"/>
  <c r="AV39" i="3"/>
  <c r="AY20" i="3"/>
  <c r="BA682" i="3"/>
  <c r="BF682" i="3" s="1"/>
  <c r="AY34" i="3"/>
  <c r="BA21" i="3"/>
  <c r="BF21" i="3" s="1"/>
  <c r="AV9" i="3"/>
  <c r="BA31" i="3"/>
  <c r="BB31" i="3" s="1"/>
  <c r="AV682" i="3"/>
  <c r="BC682" i="3" s="1"/>
  <c r="BD682" i="3" s="1"/>
  <c r="AY11" i="3"/>
  <c r="BC11" i="3" s="1"/>
  <c r="BD11" i="3" s="1"/>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BC19" i="3" s="1"/>
  <c r="BD19" i="3" s="1"/>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6" i="3" l="1"/>
  <c r="BG16" i="3" s="1"/>
  <c r="BH16" i="3" s="1"/>
  <c r="BI16" i="3" s="1"/>
  <c r="BC21" i="3"/>
  <c r="BG21" i="3" s="1"/>
  <c r="BH21" i="3" s="1"/>
  <c r="BI21" i="3" s="1"/>
  <c r="AV684" i="3"/>
  <c r="BC17" i="3"/>
  <c r="BD17" i="3" s="1"/>
  <c r="BC38" i="3"/>
  <c r="BD38" i="3" s="1"/>
  <c r="BF23" i="3"/>
  <c r="BJ23" i="3" s="1"/>
  <c r="BK23" i="3" s="1"/>
  <c r="BC20" i="3"/>
  <c r="BG20" i="3" s="1"/>
  <c r="BH20" i="3" s="1"/>
  <c r="BI20" i="3" s="1"/>
  <c r="BF29" i="3"/>
  <c r="BQ29" i="3"/>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G12" i="3"/>
  <c r="BH12" i="3" s="1"/>
  <c r="BI12"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G42" i="3"/>
  <c r="BH42" i="3" s="1"/>
  <c r="BI42" i="3" s="1"/>
  <c r="BD42" i="3"/>
  <c r="BQ20" i="3"/>
  <c r="BJ20" i="3"/>
  <c r="BK20" i="3" s="1"/>
  <c r="BB682" i="3"/>
  <c r="BQ39" i="3"/>
  <c r="BF13" i="3"/>
  <c r="BG682" i="3"/>
  <c r="BH682" i="3" s="1"/>
  <c r="BI682" i="3" s="1"/>
  <c r="BB39" i="3"/>
  <c r="BF35" i="3"/>
  <c r="BJ34" i="3" s="1"/>
  <c r="BK34" i="3" s="1"/>
  <c r="BQ41" i="3"/>
  <c r="BB41" i="3"/>
  <c r="BQ11" i="3"/>
  <c r="BG19" i="3"/>
  <c r="BH19" i="3" s="1"/>
  <c r="BI19" i="3" s="1"/>
  <c r="BC13" i="3"/>
  <c r="BG13" i="3" s="1"/>
  <c r="BH13" i="3" s="1"/>
  <c r="BI13" i="3" s="1"/>
  <c r="BD35" i="3"/>
  <c r="BB32" i="3"/>
  <c r="BQ35" i="3"/>
  <c r="BN47" i="3"/>
  <c r="BG11" i="3"/>
  <c r="BH11" i="3" s="1"/>
  <c r="BI11" i="3" s="1"/>
  <c r="BD15" i="3"/>
  <c r="BD16" i="3"/>
  <c r="BD29" i="3"/>
  <c r="BC44" i="3"/>
  <c r="BG44" i="3" s="1"/>
  <c r="BH44" i="3" s="1"/>
  <c r="BI44" i="3" s="1"/>
  <c r="BD43" i="3"/>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20" i="3" l="1"/>
  <c r="BC684" i="3"/>
  <c r="BD684" i="3" s="1"/>
  <c r="BD21" i="3"/>
  <c r="BG38" i="3"/>
  <c r="BH38" i="3" s="1"/>
  <c r="BI38" i="3" s="1"/>
  <c r="BG17" i="3"/>
  <c r="BH17" i="3" s="1"/>
  <c r="BI17" i="3" s="1"/>
  <c r="BG14" i="3"/>
  <c r="BH14" i="3" s="1"/>
  <c r="BI14" i="3" s="1"/>
  <c r="BJ22" i="3"/>
  <c r="BK22" i="3" s="1"/>
  <c r="BJ29" i="3"/>
  <c r="BK29" i="3" s="1"/>
  <c r="BJ28" i="3"/>
  <c r="BK2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BM50" i="3" s="1"/>
  <c r="R50" i="3"/>
  <c r="AU48" i="3"/>
  <c r="AX48" i="3"/>
  <c r="X49" i="3"/>
  <c r="AH49" i="3"/>
  <c r="AY47" i="3"/>
  <c r="AT48" i="3"/>
  <c r="AG49" i="3"/>
  <c r="AO49" i="3"/>
  <c r="BG687" i="3" l="1"/>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S57" i="3"/>
  <c r="AG56" i="3"/>
  <c r="AO56" i="3"/>
  <c r="BM57" i="3" l="1"/>
  <c r="AO57" i="3"/>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BN58" i="3" s="1"/>
  <c r="F58" i="3"/>
  <c r="AN57" i="3"/>
  <c r="AU56" i="3"/>
  <c r="BM58" i="3" l="1"/>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BN61" i="3" s="1"/>
  <c r="T61" i="3"/>
  <c r="BA58" i="3"/>
  <c r="AV58" i="3"/>
  <c r="AX59" i="3"/>
  <c r="BM60" i="3"/>
  <c r="AH60" i="3"/>
  <c r="AO60" i="3"/>
  <c r="BD56" i="3"/>
  <c r="BG56" i="3"/>
  <c r="BH56" i="3" s="1"/>
  <c r="BI56" i="3" s="1"/>
  <c r="Y60" i="3"/>
  <c r="Z60" i="3" s="1"/>
  <c r="AY58" i="3"/>
  <c r="AV59" i="3" l="1"/>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S62" i="3"/>
  <c r="AN61" i="3"/>
  <c r="BN62" i="3" l="1"/>
  <c r="BC59" i="3"/>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BN66" i="3" s="1"/>
  <c r="P66" i="3"/>
  <c r="AH65" i="3"/>
  <c r="AV64" i="3" l="1"/>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K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M68" i="3" l="1"/>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K77" i="3" l="1"/>
  <c r="BG78" i="3"/>
  <c r="BH78" i="3" s="1"/>
  <c r="BI78" i="3" s="1"/>
  <c r="AU81" i="3"/>
  <c r="AY80" i="3"/>
  <c r="AV80" i="3"/>
  <c r="AN82" i="3"/>
  <c r="BN82" i="3"/>
  <c r="BM82" i="3"/>
  <c r="BC79" i="3"/>
  <c r="BD79" i="3" s="1"/>
  <c r="AG82" i="3"/>
  <c r="AT81" i="3"/>
  <c r="AW81" i="3"/>
  <c r="Y82" i="3"/>
  <c r="Z82" i="3" s="1"/>
  <c r="BQ79" i="3"/>
  <c r="BB79" i="3"/>
  <c r="BF79" i="3"/>
  <c r="BJ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K78" i="3"/>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G81" i="3" s="1"/>
  <c r="BH81" i="3" s="1"/>
  <c r="BI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BM85" i="3" s="1"/>
  <c r="G85" i="3"/>
  <c r="H85" i="3" s="1"/>
  <c r="BD81" i="3" l="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K81" i="3" s="1"/>
  <c r="BQ82" i="3"/>
  <c r="AO85" i="3"/>
  <c r="AX84" i="3"/>
  <c r="AY83" i="3"/>
  <c r="AH85" i="3"/>
  <c r="X85" i="3"/>
  <c r="AW84" i="3"/>
  <c r="BF83" i="3" l="1"/>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BK93" i="3" s="1"/>
  <c r="AU96" i="3"/>
  <c r="AH97" i="3"/>
  <c r="AN97" i="3"/>
  <c r="AT96" i="3"/>
  <c r="BM98" i="3" l="1"/>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BN112" i="3" s="1"/>
  <c r="F112" i="3"/>
  <c r="BM112" i="3" s="1"/>
  <c r="AV109" i="3"/>
  <c r="BA109" i="3"/>
  <c r="Y111" i="3"/>
  <c r="Z111" i="3" s="1"/>
  <c r="BN111" i="3"/>
  <c r="AX110" i="3"/>
  <c r="AU110" i="3"/>
  <c r="AW110" i="3"/>
  <c r="X111" i="3"/>
  <c r="AG111" i="3"/>
  <c r="AO111" i="3"/>
  <c r="BK107" i="3" l="1"/>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BM115" i="3" s="1"/>
  <c r="T115" i="3"/>
  <c r="BK110" i="3" l="1"/>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BM117" i="3" s="1"/>
  <c r="S117" i="3"/>
  <c r="BN116" i="3"/>
  <c r="AG116" i="3"/>
  <c r="AH116" i="3"/>
  <c r="AN116" i="3"/>
  <c r="X116" i="3"/>
  <c r="AW115" i="3"/>
  <c r="BG113" i="3" l="1"/>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BN118" i="3" s="1"/>
  <c r="T118" i="3"/>
  <c r="BB114" i="3"/>
  <c r="BF114" i="3"/>
  <c r="BJ113" i="3" s="1"/>
  <c r="BK113" i="3" s="1"/>
  <c r="BQ114" i="3"/>
  <c r="AW116" i="3"/>
  <c r="X117" i="3"/>
  <c r="BN117" i="3"/>
  <c r="AG117" i="3"/>
  <c r="AN117" i="3"/>
  <c r="AU116" i="3"/>
  <c r="Y117" i="3"/>
  <c r="Z117" i="3" s="1"/>
  <c r="AT116" i="3"/>
  <c r="BA115" i="3"/>
  <c r="BM118" i="3" l="1"/>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BM131" i="3" s="1"/>
  <c r="G131" i="3"/>
  <c r="H131" i="3" s="1"/>
  <c r="BA128" i="3"/>
  <c r="AX129" i="3"/>
  <c r="AU129" i="3"/>
  <c r="AW129" i="3"/>
  <c r="AT129" i="3"/>
  <c r="Y130" i="3"/>
  <c r="Z130" i="3" s="1"/>
  <c r="AG130" i="3"/>
  <c r="AO130" i="3"/>
  <c r="BQ127" i="3"/>
  <c r="BB127" i="3"/>
  <c r="BF127" i="3"/>
  <c r="BJ126" i="3" s="1"/>
  <c r="BK126" i="3" s="1"/>
  <c r="BN131" i="3" l="1"/>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BM132" i="3" s="1"/>
  <c r="S132" i="3"/>
  <c r="AH131" i="3"/>
  <c r="X131" i="3"/>
  <c r="BK127" i="3" l="1"/>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BN136" i="3" s="1"/>
  <c r="T136" i="3"/>
  <c r="AH135" i="3"/>
  <c r="X135" i="3"/>
  <c r="BK131" i="3" l="1"/>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BM137" i="3" s="1"/>
  <c r="G137" i="3"/>
  <c r="H137" i="3" s="1"/>
  <c r="BN137" i="3" s="1"/>
  <c r="T137" i="3"/>
  <c r="BK132" i="3" l="1"/>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K141" i="3" l="1"/>
  <c r="BD142" i="3"/>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BN148" i="3" s="1"/>
  <c r="T148" i="3"/>
  <c r="AX146" i="3"/>
  <c r="AV145" i="3"/>
  <c r="BM147" i="3"/>
  <c r="AG147" i="3"/>
  <c r="AO147" i="3"/>
  <c r="BF144" i="3"/>
  <c r="BJ143" i="3" s="1"/>
  <c r="BQ144" i="3"/>
  <c r="BB144" i="3"/>
  <c r="X147" i="3"/>
  <c r="BK143" i="3" l="1"/>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BN161" i="3" s="1"/>
  <c r="F161" i="3"/>
  <c r="AV158" i="3"/>
  <c r="BA158" i="3"/>
  <c r="AG160" i="3"/>
  <c r="AH160" i="3"/>
  <c r="X160" i="3"/>
  <c r="AN160" i="3"/>
  <c r="AT159" i="3"/>
  <c r="AW159" i="3"/>
  <c r="BF157" i="3"/>
  <c r="BJ156" i="3" s="1"/>
  <c r="BQ157" i="3"/>
  <c r="BB157" i="3"/>
  <c r="BK156" i="3" l="1"/>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BM166" i="3" s="1"/>
  <c r="S166" i="3"/>
  <c r="AG165" i="3"/>
  <c r="AH165" i="3"/>
  <c r="BN166" i="3" l="1"/>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BN174" i="3" s="1"/>
  <c r="F174" i="3"/>
  <c r="AU172" i="3"/>
  <c r="AW172" i="3"/>
  <c r="AT172" i="3"/>
  <c r="X173" i="3"/>
  <c r="AG173" i="3"/>
  <c r="AH173" i="3"/>
  <c r="AN173" i="3"/>
  <c r="BJ169" i="3"/>
  <c r="BK169" i="3" l="1"/>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BN201" i="3" s="1"/>
  <c r="T201" i="3"/>
  <c r="AX199" i="3"/>
  <c r="AT199" i="3"/>
  <c r="BA198" i="3"/>
  <c r="AH200" i="3"/>
  <c r="AN200" i="3"/>
  <c r="X200" i="3"/>
  <c r="BG197" i="3" l="1"/>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BN205" i="3" s="1"/>
  <c r="S205" i="3"/>
  <c r="AU203" i="3"/>
  <c r="AT203" i="3"/>
  <c r="AH204" i="3"/>
  <c r="AO204" i="3"/>
  <c r="X204" i="3"/>
  <c r="BC202" i="3" l="1"/>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BN214" i="3" s="1"/>
  <c r="T214" i="3"/>
  <c r="AX212" i="3"/>
  <c r="BM213" i="3"/>
  <c r="AG213" i="3"/>
  <c r="AH213" i="3"/>
  <c r="AV211" i="3"/>
  <c r="BA211" i="3"/>
  <c r="BB210" i="3"/>
  <c r="BF210" i="3"/>
  <c r="BJ209" i="3" s="1"/>
  <c r="BK209" i="3" s="1"/>
  <c r="BQ210" i="3"/>
  <c r="AO213" i="3"/>
  <c r="BD210" i="3" l="1"/>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BN218" i="3" s="1"/>
  <c r="F218" i="3"/>
  <c r="BM218" i="3" s="1"/>
  <c r="BF215" i="3" l="1"/>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BN234" i="3" s="1"/>
  <c r="T234" i="3"/>
  <c r="S234" i="3"/>
  <c r="AO233" i="3"/>
  <c r="AV232" i="3" l="1"/>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BM256" i="3" s="1"/>
  <c r="T256" i="3"/>
  <c r="AH255" i="3"/>
  <c r="AN255" i="3"/>
  <c r="AU254" i="3"/>
  <c r="BC252" i="3"/>
  <c r="BC253" i="3" l="1"/>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BM262" i="3" s="1"/>
  <c r="S262" i="3"/>
  <c r="AH261" i="3"/>
  <c r="AT260" i="3"/>
  <c r="Y261" i="3"/>
  <c r="Z261" i="3" s="1"/>
  <c r="X261" i="3"/>
  <c r="AG261" i="3"/>
  <c r="AN261" i="3"/>
  <c r="BN262" i="3" l="1"/>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BN264" i="3" s="1"/>
  <c r="T264" i="3"/>
  <c r="AX262" i="3"/>
  <c r="Y263" i="3"/>
  <c r="Z263" i="3" s="1"/>
  <c r="AG263" i="3"/>
  <c r="AN263" i="3"/>
  <c r="AV261" i="3"/>
  <c r="BA261" i="3"/>
  <c r="AW262" i="3"/>
  <c r="AU262" i="3"/>
  <c r="AH263" i="3"/>
  <c r="AV262" i="3" l="1"/>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BM296" i="3" s="1"/>
  <c r="T296" i="3"/>
  <c r="AH295" i="3"/>
  <c r="AG295" i="3"/>
  <c r="BB292" i="3"/>
  <c r="BQ292" i="3"/>
  <c r="BF292" i="3"/>
  <c r="BJ291" i="3" s="1"/>
  <c r="BK291" i="3" s="1"/>
  <c r="AX294" i="3"/>
  <c r="AU294" i="3"/>
  <c r="X295" i="3"/>
  <c r="AW294" i="3"/>
  <c r="AT294" i="3"/>
  <c r="BA293" i="3"/>
  <c r="Y295" i="3"/>
  <c r="Z295" i="3" s="1"/>
  <c r="AN295" i="3"/>
  <c r="BC293" i="3" l="1"/>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T307" i="3"/>
  <c r="AG306" i="3"/>
  <c r="AH306" i="3"/>
  <c r="BM307" i="3" l="1"/>
  <c r="AO307" i="3"/>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BM318" i="3" s="1"/>
  <c r="T318" i="3"/>
  <c r="BF314" i="3"/>
  <c r="BJ313" i="3" s="1"/>
  <c r="BK313" i="3" s="1"/>
  <c r="BQ314" i="3"/>
  <c r="BB314" i="3"/>
  <c r="AT316" i="3"/>
  <c r="Y317" i="3"/>
  <c r="Z317" i="3" s="1"/>
  <c r="BN317" i="3"/>
  <c r="X317" i="3"/>
  <c r="AG317" i="3"/>
  <c r="AH317" i="3"/>
  <c r="AO317" i="3"/>
  <c r="BC315" i="3" l="1"/>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BM328" i="3" s="1"/>
  <c r="T328" i="3"/>
  <c r="AX326" i="3"/>
  <c r="X327" i="3"/>
  <c r="BQ324" i="3"/>
  <c r="BF324" i="3"/>
  <c r="BJ323" i="3" s="1"/>
  <c r="BK323" i="3" s="1"/>
  <c r="BB324" i="3"/>
  <c r="AW326" i="3"/>
  <c r="Y327" i="3"/>
  <c r="Z327" i="3" s="1"/>
  <c r="AH327" i="3"/>
  <c r="BA325" i="3"/>
  <c r="BD324" i="3" l="1"/>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BN346" i="3" s="1"/>
  <c r="F346" i="3"/>
  <c r="AT344" i="3"/>
  <c r="AH345" i="3"/>
  <c r="X345" i="3"/>
  <c r="BG342" i="3" l="1"/>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BM352" i="3" s="1"/>
  <c r="D352" i="3"/>
  <c r="T352" i="3"/>
  <c r="AV349" i="3"/>
  <c r="BA349" i="3"/>
  <c r="X351" i="3"/>
  <c r="AG351" i="3"/>
  <c r="AO351" i="3"/>
  <c r="AX350" i="3"/>
  <c r="BB348" i="3"/>
  <c r="BQ348" i="3"/>
  <c r="BF348" i="3"/>
  <c r="BJ347" i="3" s="1"/>
  <c r="BK347" i="3" s="1"/>
  <c r="AO352" i="3" l="1"/>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BM358" i="3" s="1"/>
  <c r="G358" i="3"/>
  <c r="H358" i="3" s="1"/>
  <c r="BN358" i="3" l="1"/>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BM359" i="3" s="1"/>
  <c r="T359" i="3"/>
  <c r="BD354" i="3"/>
  <c r="BG354" i="3"/>
  <c r="BH354" i="3" s="1"/>
  <c r="BI354" i="3" s="1"/>
  <c r="AH358" i="3"/>
  <c r="AO358" i="3"/>
  <c r="BC356" i="3" l="1"/>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BM360" i="3" s="1"/>
  <c r="T360" i="3"/>
  <c r="X359" i="3"/>
  <c r="AU358" i="3"/>
  <c r="BD356" i="3" l="1"/>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BM375" i="3" s="1"/>
  <c r="G375" i="3"/>
  <c r="H375" i="3" s="1"/>
  <c r="X374" i="3"/>
  <c r="AH374" i="3"/>
  <c r="AW373" i="3"/>
  <c r="BN375" i="3" l="1"/>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BM377" i="3" s="1"/>
  <c r="BD373" i="3"/>
  <c r="AH376" i="3"/>
  <c r="AT375" i="3"/>
  <c r="BC374" i="3" l="1"/>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BD385" i="3"/>
  <c r="Y388" i="3"/>
  <c r="Z388" i="3" s="1"/>
  <c r="BM389" i="3" l="1"/>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BN393" i="3" s="1"/>
  <c r="T393" i="3"/>
  <c r="BQ389" i="3"/>
  <c r="BF389" i="3"/>
  <c r="BJ388" i="3" s="1"/>
  <c r="BK388" i="3" s="1"/>
  <c r="BB389" i="3"/>
  <c r="AH392" i="3"/>
  <c r="X392" i="3"/>
  <c r="BD389" i="3" l="1"/>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BN404" i="3" s="1"/>
  <c r="T404" i="3"/>
  <c r="BM403" i="3"/>
  <c r="AH403" i="3"/>
  <c r="AO403" i="3"/>
  <c r="AV402" i="3" l="1"/>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BM415" i="3" s="1"/>
  <c r="T415" i="3"/>
  <c r="BM414" i="3"/>
  <c r="AH414" i="3"/>
  <c r="AO414" i="3"/>
  <c r="BA412" i="3"/>
  <c r="AU413" i="3"/>
  <c r="BB411" i="3"/>
  <c r="BQ411" i="3"/>
  <c r="BF411" i="3"/>
  <c r="BJ410" i="3" s="1"/>
  <c r="BK410" i="3" s="1"/>
  <c r="AG414" i="3"/>
  <c r="BG411" i="3" l="1"/>
  <c r="BH411" i="3" s="1"/>
  <c r="BI411" i="3" s="1"/>
  <c r="BC412" i="3"/>
  <c r="BD412" i="3" s="1"/>
  <c r="AO415" i="3"/>
  <c r="AY413" i="3"/>
  <c r="AV413" i="3"/>
  <c r="AT414" i="3"/>
  <c r="BA413" i="3"/>
  <c r="BB413" i="3" s="1"/>
  <c r="AX414" i="3"/>
  <c r="AH415" i="3"/>
  <c r="BG412" i="3"/>
  <c r="BH412" i="3" s="1"/>
  <c r="BI412" i="3" s="1"/>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C413" i="3" l="1"/>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BN429" i="3" s="1"/>
  <c r="F429" i="3"/>
  <c r="X428" i="3"/>
  <c r="AV426" i="3"/>
  <c r="BC426" i="3" l="1"/>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BN435" i="3" s="1"/>
  <c r="F435" i="3"/>
  <c r="T435" i="3"/>
  <c r="BG431" i="3" l="1"/>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BN436" i="3" s="1"/>
  <c r="T436" i="3"/>
  <c r="AH435" i="3"/>
  <c r="AN435" i="3"/>
  <c r="X435" i="3"/>
  <c r="AV433" i="3"/>
  <c r="AT434" i="3"/>
  <c r="AW434" i="3"/>
  <c r="AU435" i="3" l="1"/>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BM445" i="3" s="1"/>
  <c r="T445" i="3"/>
  <c r="BA442" i="3"/>
  <c r="AV442" i="3"/>
  <c r="X444" i="3"/>
  <c r="AT443" i="3"/>
  <c r="BD441" i="3" l="1"/>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BN448" i="3" s="1"/>
  <c r="F448" i="3"/>
  <c r="BM448" i="3" s="1"/>
  <c r="T448" i="3"/>
  <c r="AV446" i="3" l="1"/>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BN459" i="3" s="1"/>
  <c r="F459" i="3"/>
  <c r="Y458" i="3"/>
  <c r="Z458" i="3" s="1"/>
  <c r="AH458" i="3"/>
  <c r="AN458" i="3"/>
  <c r="AT457" i="3"/>
  <c r="AX457" i="3"/>
  <c r="AV456" i="3"/>
  <c r="BB455" i="3"/>
  <c r="BF455" i="3"/>
  <c r="BJ454" i="3" s="1"/>
  <c r="BK454" i="3" s="1"/>
  <c r="BQ455" i="3"/>
  <c r="X458" i="3"/>
  <c r="BD455" i="3" l="1"/>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BM464" i="3" s="1"/>
  <c r="AU462" i="3"/>
  <c r="AT462" i="3"/>
  <c r="BA461" i="3"/>
  <c r="BM463" i="3"/>
  <c r="AG463" i="3"/>
  <c r="AN463" i="3"/>
  <c r="BQ460" i="3"/>
  <c r="BF460" i="3"/>
  <c r="BJ459" i="3" s="1"/>
  <c r="BK459" i="3" s="1"/>
  <c r="BB460" i="3"/>
  <c r="AW462" i="3"/>
  <c r="X463" i="3"/>
  <c r="BG460" i="3" l="1"/>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BM468" i="3" s="1"/>
  <c r="G468" i="3"/>
  <c r="H468" i="3" s="1"/>
  <c r="BN468" i="3" s="1"/>
  <c r="T468" i="3"/>
  <c r="AH467" i="3"/>
  <c r="X467" i="3"/>
  <c r="BG464" i="3" l="1"/>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BM471" i="3" s="1"/>
  <c r="G471" i="3"/>
  <c r="H471" i="3" s="1"/>
  <c r="AV468" i="3"/>
  <c r="BA468" i="3"/>
  <c r="AU469" i="3"/>
  <c r="Y470" i="3"/>
  <c r="Z470" i="3" s="1"/>
  <c r="AG470" i="3"/>
  <c r="AH470" i="3"/>
  <c r="AO470" i="3"/>
  <c r="X470" i="3"/>
  <c r="AT469" i="3"/>
  <c r="AW469" i="3"/>
  <c r="BN471" i="3" l="1"/>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BN472" i="3" s="1"/>
  <c r="F472" i="3"/>
  <c r="BM472" i="3" s="1"/>
  <c r="AU470" i="3"/>
  <c r="AH471" i="3"/>
  <c r="AO471" i="3"/>
  <c r="X471" i="3"/>
  <c r="BD468" i="3" l="1"/>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F469" i="3"/>
  <c r="BJ468" i="3" s="1"/>
  <c r="BK468" i="3" s="1"/>
  <c r="BQ469" i="3"/>
  <c r="BB469" i="3"/>
  <c r="AW471" i="3"/>
  <c r="AH472" i="3"/>
  <c r="AN472" i="3"/>
  <c r="X472" i="3"/>
  <c r="AT471" i="3"/>
  <c r="AU471" i="3"/>
  <c r="BC470" i="3" l="1"/>
  <c r="BD470" i="3" s="1"/>
  <c r="BD469" i="3"/>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Y473" i="3"/>
  <c r="Z473" i="3" s="1"/>
  <c r="AV471" i="3"/>
  <c r="AW472" i="3"/>
  <c r="BG470" i="3" l="1"/>
  <c r="BH470" i="3" s="1"/>
  <c r="BI470" i="3" s="1"/>
  <c r="AO474" i="3"/>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BM478" i="3" s="1"/>
  <c r="T478" i="3"/>
  <c r="AU476" i="3"/>
  <c r="AH477" i="3"/>
  <c r="AG477" i="3"/>
  <c r="AO477" i="3"/>
  <c r="X477" i="3"/>
  <c r="AY476" i="3" l="1"/>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BD478" i="3"/>
  <c r="AX480" i="3"/>
  <c r="AW480" i="3"/>
  <c r="AH481" i="3"/>
  <c r="X481" i="3"/>
  <c r="AV479" i="3"/>
  <c r="BA479" i="3"/>
  <c r="BQ478" i="3"/>
  <c r="BF478" i="3"/>
  <c r="BJ477" i="3" s="1"/>
  <c r="BK477" i="3" s="1"/>
  <c r="BB478" i="3"/>
  <c r="AG481" i="3"/>
  <c r="AN481" i="3"/>
  <c r="BN482" i="3" l="1"/>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BN483" i="3" s="1"/>
  <c r="F483" i="3"/>
  <c r="AN482" i="3"/>
  <c r="BG479" i="3" l="1"/>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BN489" i="3" s="1"/>
  <c r="T489" i="3"/>
  <c r="AW487" i="3"/>
  <c r="AU487" i="3"/>
  <c r="AX487" i="3"/>
  <c r="BM489" i="3" l="1"/>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G490" i="3"/>
  <c r="BH490" i="3" s="1"/>
  <c r="BI490" i="3" s="1"/>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AV492" i="3" l="1"/>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BN495" i="3" s="1"/>
  <c r="F495" i="3"/>
  <c r="BM495" i="3" s="1"/>
  <c r="BC492" i="3" l="1"/>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BM496" i="3" s="1"/>
  <c r="G496" i="3"/>
  <c r="H496" i="3" s="1"/>
  <c r="AV493" i="3"/>
  <c r="BA493" i="3"/>
  <c r="AH495" i="3"/>
  <c r="AN495" i="3"/>
  <c r="X495" i="3"/>
  <c r="AU494" i="3"/>
  <c r="AW494" i="3"/>
  <c r="BB492" i="3"/>
  <c r="BQ492" i="3"/>
  <c r="BF492" i="3"/>
  <c r="BJ491" i="3" s="1"/>
  <c r="BK491" i="3" s="1"/>
  <c r="AG495" i="3"/>
  <c r="BN496" i="3" l="1"/>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BN499" i="3" s="1"/>
  <c r="T499" i="3"/>
  <c r="BM499" i="3" l="1"/>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BN503" i="3" s="1"/>
  <c r="F503" i="3"/>
  <c r="BD499" i="3" l="1"/>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BN508" i="3" s="1"/>
  <c r="F508" i="3"/>
  <c r="BA505" i="3"/>
  <c r="Y507" i="3"/>
  <c r="Z507" i="3" s="1"/>
  <c r="AG507" i="3"/>
  <c r="AH507" i="3"/>
  <c r="X507" i="3"/>
  <c r="BC505" i="3" l="1"/>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BC506" i="3" s="1"/>
  <c r="AH508" i="3"/>
  <c r="X508" i="3"/>
  <c r="AT507" i="3"/>
  <c r="AU508" i="3" l="1"/>
  <c r="BD505" i="3"/>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BD506" i="3"/>
  <c r="BG506" i="3"/>
  <c r="BH506" i="3" s="1"/>
  <c r="BI506" i="3" s="1"/>
  <c r="AN509" i="3"/>
  <c r="AO510" i="3" l="1"/>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BM512" i="3" s="1"/>
  <c r="T512" i="3"/>
  <c r="BB508" i="3"/>
  <c r="BF508" i="3"/>
  <c r="BJ507" i="3" s="1"/>
  <c r="BK507" i="3" s="1"/>
  <c r="BQ508" i="3"/>
  <c r="AG511" i="3"/>
  <c r="AH511" i="3"/>
  <c r="X511" i="3"/>
  <c r="AV510" i="3" l="1"/>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T524" i="3"/>
  <c r="BQ520" i="3"/>
  <c r="BF520" i="3"/>
  <c r="BJ519" i="3" s="1"/>
  <c r="BK519" i="3" s="1"/>
  <c r="BB520" i="3"/>
  <c r="AG523" i="3"/>
  <c r="AH523" i="3"/>
  <c r="X523" i="3"/>
  <c r="AX522" i="3"/>
  <c r="AT522" i="3"/>
  <c r="AO523" i="3"/>
  <c r="AV521" i="3"/>
  <c r="BA521" i="3"/>
  <c r="BM524" i="3" l="1"/>
  <c r="BN524" i="3"/>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BN527" i="3" s="1"/>
  <c r="F527" i="3"/>
  <c r="AX525" i="3"/>
  <c r="BC524" i="3" l="1"/>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BN534" i="3" s="1"/>
  <c r="T534" i="3"/>
  <c r="AH533" i="3"/>
  <c r="X533" i="3"/>
  <c r="BJ529" i="3"/>
  <c r="BK529" i="3" s="1"/>
  <c r="Y533" i="3"/>
  <c r="Z533" i="3" s="1"/>
  <c r="AX532" i="3"/>
  <c r="AN533" i="3"/>
  <c r="AT532" i="3"/>
  <c r="BM534" i="3" l="1"/>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BM536" i="3" s="1"/>
  <c r="G536" i="3"/>
  <c r="H536" i="3" s="1"/>
  <c r="X535" i="3"/>
  <c r="BG532" i="3" l="1"/>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BN537" i="3" s="1"/>
  <c r="F537" i="3"/>
  <c r="AN536" i="3"/>
  <c r="AX535" i="3"/>
  <c r="BM537" i="3" l="1"/>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BM540" i="3" s="1"/>
  <c r="G540" i="3"/>
  <c r="H540" i="3" s="1"/>
  <c r="BN540" i="3" s="1"/>
  <c r="AN539" i="3"/>
  <c r="BA537" i="3"/>
  <c r="BD536" i="3" l="1"/>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BM541" i="3" s="1"/>
  <c r="T541" i="3"/>
  <c r="AX539" i="3"/>
  <c r="BN541" i="3" l="1"/>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BN546" i="3" s="1"/>
  <c r="T546" i="3"/>
  <c r="X545" i="3"/>
  <c r="AT544" i="3"/>
  <c r="BJ541" i="3"/>
  <c r="BK541" i="3" s="1"/>
  <c r="BD542" i="3" l="1"/>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BN549" i="3" s="1"/>
  <c r="T549" i="3"/>
  <c r="AW547" i="3"/>
  <c r="AY546" i="3"/>
  <c r="BM548" i="3"/>
  <c r="AG548" i="3"/>
  <c r="AH548" i="3"/>
  <c r="AN548" i="3"/>
  <c r="BA546" i="3"/>
  <c r="X548" i="3"/>
  <c r="BM549" i="3" l="1"/>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BN551" i="3" s="1"/>
  <c r="T551" i="3"/>
  <c r="X550" i="3"/>
  <c r="AW549" i="3"/>
  <c r="BA548" i="3"/>
  <c r="BD547" i="3" l="1"/>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G552" i="3" l="1"/>
  <c r="BH552" i="3" s="1"/>
  <c r="BI552" i="3" s="1"/>
  <c r="BM556" i="3"/>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BN557" i="3" s="1"/>
  <c r="F557" i="3"/>
  <c r="BM557" i="3" s="1"/>
  <c r="BD553" i="3" l="1"/>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M558" i="3" s="1"/>
  <c r="BA555" i="3"/>
  <c r="AY555" i="3"/>
  <c r="AH557" i="3"/>
  <c r="AN557" i="3"/>
  <c r="X557" i="3"/>
  <c r="AX556" i="3"/>
  <c r="AW556" i="3"/>
  <c r="BD554" i="3" l="1"/>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D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G559" i="3" l="1"/>
  <c r="BH559" i="3" s="1"/>
  <c r="BI559" i="3" s="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BM564" i="3" s="1"/>
  <c r="T564" i="3"/>
  <c r="AG563" i="3"/>
  <c r="AN563" i="3"/>
  <c r="BC561" i="3" l="1"/>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BM571" i="3" s="1"/>
  <c r="T571" i="3"/>
  <c r="AX569" i="3"/>
  <c r="AT569" i="3"/>
  <c r="AG570" i="3"/>
  <c r="AO570" i="3"/>
  <c r="BA568" i="3"/>
  <c r="AU569" i="3"/>
  <c r="AH570" i="3"/>
  <c r="X570" i="3"/>
  <c r="BJ565" i="3"/>
  <c r="BK565" i="3" s="1"/>
  <c r="BD567" i="3" l="1"/>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c r="BH573" i="3" s="1"/>
  <c r="BI573" i="3" s="1"/>
  <c r="BM577" i="3" l="1"/>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BG580" i="3"/>
  <c r="BH580" i="3" s="1"/>
  <c r="BI580" i="3" s="1"/>
  <c r="AH583" i="3"/>
  <c r="X583" i="3"/>
  <c r="BC581" i="3" l="1"/>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BM591" i="3" s="1"/>
  <c r="G591" i="3"/>
  <c r="H591" i="3" s="1"/>
  <c r="Y590" i="3"/>
  <c r="Z590" i="3" s="1"/>
  <c r="AV588" i="3"/>
  <c r="BA588" i="3"/>
  <c r="X590" i="3"/>
  <c r="BM590" i="3"/>
  <c r="AH590" i="3"/>
  <c r="AO590" i="3"/>
  <c r="AX589" i="3"/>
  <c r="BB587" i="3"/>
  <c r="BQ587" i="3"/>
  <c r="BF587" i="3"/>
  <c r="BJ586" i="3" s="1"/>
  <c r="BK586" i="3" s="1"/>
  <c r="BD587" i="3" l="1"/>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BM592" i="3" s="1"/>
  <c r="X591" i="3"/>
  <c r="BG588" i="3" l="1"/>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BN608" i="3" s="1"/>
  <c r="T608" i="3"/>
  <c r="AU606" i="3"/>
  <c r="AT606" i="3"/>
  <c r="AX606" i="3"/>
  <c r="AY605" i="3"/>
  <c r="AG607" i="3"/>
  <c r="AH607" i="3"/>
  <c r="X607" i="3"/>
  <c r="AV605" i="3"/>
  <c r="BA605" i="3"/>
  <c r="AO607" i="3"/>
  <c r="BM608" i="3" l="1"/>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D606" i="3" l="1"/>
  <c r="BM610" i="3"/>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T613" i="3" s="1"/>
  <c r="AN613" i="3"/>
  <c r="AU612" i="3"/>
  <c r="AV611" i="3"/>
  <c r="X613" i="3"/>
  <c r="AO614" i="3" l="1"/>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AV613" i="3" s="1"/>
  <c r="BM614" i="3"/>
  <c r="AG614" i="3"/>
  <c r="AH614" i="3"/>
  <c r="AN614" i="3"/>
  <c r="X614" i="3"/>
  <c r="BD611" i="3" l="1"/>
  <c r="BC612" i="3"/>
  <c r="BD612" i="3" s="1"/>
  <c r="BN615" i="3"/>
  <c r="BF612" i="3"/>
  <c r="BJ611" i="3" s="1"/>
  <c r="BK611" i="3" s="1"/>
  <c r="AY613" i="3"/>
  <c r="BC613" i="3" s="1"/>
  <c r="BD613" i="3" s="1"/>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G612" i="3" l="1"/>
  <c r="BH612" i="3" s="1"/>
  <c r="BI612" i="3" s="1"/>
  <c r="BM616" i="3"/>
  <c r="AY614" i="3"/>
  <c r="AT615" i="3"/>
  <c r="AG616" i="3"/>
  <c r="AX615" i="3"/>
  <c r="AO616" i="3"/>
  <c r="AU615" i="3"/>
  <c r="BG613" i="3"/>
  <c r="BH613" i="3" s="1"/>
  <c r="BI613" i="3" s="1"/>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AV615" i="3" l="1"/>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BM620" i="3" s="1"/>
  <c r="T620" i="3"/>
  <c r="AH619" i="3"/>
  <c r="AN619" i="3"/>
  <c r="X619" i="3"/>
  <c r="AW618" i="3"/>
  <c r="BQ616" i="3"/>
  <c r="BF616" i="3"/>
  <c r="BJ615" i="3" s="1"/>
  <c r="BK615" i="3" s="1"/>
  <c r="BB616" i="3"/>
  <c r="Y619" i="3"/>
  <c r="Z619" i="3" s="1"/>
  <c r="BA617" i="3"/>
  <c r="BC617" i="3" l="1"/>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BM623" i="3" s="1"/>
  <c r="G623" i="3"/>
  <c r="H623" i="3" s="1"/>
  <c r="BN623" i="3" s="1"/>
  <c r="AY620" i="3"/>
  <c r="AU621" i="3"/>
  <c r="BM622" i="3"/>
  <c r="AG622" i="3"/>
  <c r="AH622" i="3"/>
  <c r="AN622" i="3"/>
  <c r="Y622" i="3"/>
  <c r="Z622" i="3" s="1"/>
  <c r="AT621" i="3"/>
  <c r="AW621" i="3"/>
  <c r="X622" i="3"/>
  <c r="AV621" i="3" l="1"/>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BN624" i="3" s="1"/>
  <c r="F624" i="3"/>
  <c r="BM624" i="3" s="1"/>
  <c r="AU622" i="3"/>
  <c r="X623" i="3"/>
  <c r="BC621" i="3" l="1"/>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BM629" i="3" s="1"/>
  <c r="AO628" i="3"/>
  <c r="Y628" i="3"/>
  <c r="Z628" i="3" s="1"/>
  <c r="AG628" i="3"/>
  <c r="AH628" i="3"/>
  <c r="AX627" i="3"/>
  <c r="AT627" i="3"/>
  <c r="AW627" i="3"/>
  <c r="BB625" i="3"/>
  <c r="BF625" i="3"/>
  <c r="BJ624" i="3" s="1"/>
  <c r="BK624" i="3" s="1"/>
  <c r="BQ625" i="3"/>
  <c r="X628" i="3"/>
  <c r="BD625" i="3" l="1"/>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BD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C631" i="3" l="1"/>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BN635" i="3" s="1"/>
  <c r="F635" i="3"/>
  <c r="BM635" i="3" s="1"/>
  <c r="T635" i="3"/>
  <c r="AU633" i="3"/>
  <c r="AX633" i="3"/>
  <c r="AH634" i="3"/>
  <c r="AN634" i="3"/>
  <c r="X634" i="3"/>
  <c r="BD631" i="3" l="1"/>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BM636" i="3" s="1"/>
  <c r="X635" i="3"/>
  <c r="BA633" i="3"/>
  <c r="AX634" i="3"/>
  <c r="AH635" i="3"/>
  <c r="AN635" i="3"/>
  <c r="BC633" i="3" l="1"/>
  <c r="BD633" i="3" s="1"/>
  <c r="BD632" i="3"/>
  <c r="AV634" i="3"/>
  <c r="AW688" i="3"/>
  <c r="AT688" i="3"/>
  <c r="AU688" i="3"/>
  <c r="AX688" i="3"/>
  <c r="AY634" i="3"/>
  <c r="BG633" i="3"/>
  <c r="BH633" i="3" s="1"/>
  <c r="BI633" i="3" s="1"/>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M637" i="3" l="1"/>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BN640" i="3" s="1"/>
  <c r="T640" i="3"/>
  <c r="AW638" i="3"/>
  <c r="AT638" i="3"/>
  <c r="AU639" i="3" l="1"/>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BM644" i="3" s="1"/>
  <c r="AH643" i="3"/>
  <c r="BA641" i="3"/>
  <c r="AX642" i="3"/>
  <c r="AG643" i="3"/>
  <c r="X643" i="3"/>
  <c r="AO643" i="3"/>
  <c r="AV642" i="3" l="1"/>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BN647" i="3" s="1"/>
  <c r="F647" i="3"/>
  <c r="BM647" i="3" s="1"/>
  <c r="T647" i="3"/>
  <c r="BC644" i="3" l="1"/>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BN656" i="3" s="1"/>
  <c r="AN655" i="3"/>
  <c r="X655" i="3"/>
  <c r="BG652" i="3" l="1"/>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BM659" i="3" s="1"/>
  <c r="T659" i="3"/>
  <c r="BJ654" i="3"/>
  <c r="BK654" i="3" s="1"/>
  <c r="BJ653" i="3"/>
  <c r="BK653" i="3" s="1"/>
  <c r="Y658" i="3"/>
  <c r="Z658" i="3" s="1"/>
  <c r="AX657" i="3"/>
  <c r="AH658" i="3"/>
  <c r="AO658" i="3"/>
  <c r="AT657" i="3"/>
  <c r="AW657" i="3"/>
  <c r="BA656" i="3"/>
  <c r="X658" i="3"/>
  <c r="BN659" i="3" l="1"/>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BM663" i="3" s="1"/>
  <c r="G663" i="3"/>
  <c r="H663" i="3" s="1"/>
  <c r="X662" i="3"/>
  <c r="AX661" i="3"/>
  <c r="Y662" i="3"/>
  <c r="Z662" i="3" s="1"/>
  <c r="AG662" i="3"/>
  <c r="AO662" i="3"/>
  <c r="AV661" i="3" l="1"/>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F674" i="3"/>
  <c r="T674" i="3"/>
  <c r="BQ670" i="3"/>
  <c r="BB670" i="3"/>
  <c r="BF670" i="3"/>
  <c r="BJ669" i="3" s="1"/>
  <c r="BK669" i="3" s="1"/>
  <c r="AT672" i="3"/>
  <c r="AW672" i="3"/>
  <c r="BN673" i="3"/>
  <c r="AG673" i="3"/>
  <c r="AH673" i="3"/>
  <c r="AO673" i="3"/>
  <c r="X673" i="3"/>
  <c r="BN674" i="3" l="1"/>
  <c r="BG670" i="3"/>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5"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s>
  <commentList>
    <comment ref="A3" authorId="0" shapeId="0" xr:uid="{00000000-0006-0000-0000-000001000000}">
      <text>
        <r>
          <rPr>
            <b/>
            <sz val="11"/>
            <color indexed="10"/>
            <rFont val="Tahoma"/>
            <family val="2"/>
          </rPr>
          <t>Welcome to the LM5145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LM5145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
</t>
        </r>
        <r>
          <rPr>
            <u/>
            <sz val="9"/>
            <color indexed="12"/>
            <rFont val="Tahoma"/>
            <family val="2"/>
          </rPr>
          <t>www.ti.com/widevin</t>
        </r>
        <r>
          <rPr>
            <sz val="9"/>
            <color indexed="81"/>
            <rFont val="Tahoma"/>
            <family val="2"/>
          </rPr>
          <t xml:space="preserve">
</t>
        </r>
        <r>
          <rPr>
            <b/>
            <sz val="9"/>
            <color indexed="81"/>
            <rFont val="Tahoma"/>
            <family val="2"/>
          </rPr>
          <t xml:space="preserve">
Rev. 12.6, Timothy J.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LM5145 product datasheet and EVM user's guide for more details.
</t>
        </r>
        <r>
          <rPr>
            <b/>
            <sz val="9"/>
            <color indexed="81"/>
            <rFont val="Tahoma"/>
            <family val="2"/>
          </rPr>
          <t>Rev. 12.6, Timothy J.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The LM5145 input operating voltage range is 6V to 75V.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75V</t>
        </r>
        <r>
          <rPr>
            <sz val="9"/>
            <color indexed="81"/>
            <rFont val="Tahoma"/>
            <family val="2"/>
          </rPr>
          <t xml:space="preserve">
-The input voltage is below </t>
        </r>
        <r>
          <rPr>
            <b/>
            <sz val="9"/>
            <color indexed="10"/>
            <rFont val="Tahoma"/>
            <family val="2"/>
          </rPr>
          <t>6V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The LM5145 input operating voltage range is 6V to 75V.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75V</t>
        </r>
        <r>
          <rPr>
            <sz val="9"/>
            <color indexed="81"/>
            <rFont val="Tahoma"/>
            <family val="2"/>
          </rPr>
          <t xml:space="preserve">
-The input voltage is below </t>
        </r>
        <r>
          <rPr>
            <b/>
            <sz val="9"/>
            <color indexed="10"/>
            <rFont val="Tahoma"/>
            <family val="2"/>
          </rPr>
          <t>6V</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The LM5145 input operating voltage range is 6V to 75V.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75V</t>
        </r>
        <r>
          <rPr>
            <sz val="9"/>
            <color indexed="81"/>
            <rFont val="Tahoma"/>
            <family val="2"/>
          </rPr>
          <t xml:space="preserve">
-The input voltage is below </t>
        </r>
        <r>
          <rPr>
            <b/>
            <sz val="9"/>
            <color indexed="10"/>
            <rFont val="Tahoma"/>
            <family val="2"/>
          </rPr>
          <t xml:space="preserve">6V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60V</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LM25145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output filter inductance here. Target inductor (peak-to-peak) ripple currrent is 30-40% of the DC full load current.</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E25"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0"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2"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4"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39"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1"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3"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8"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0"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LM5145 input operating voltage range is 6V to 75V.
</t>
        </r>
        <r>
          <rPr>
            <b/>
            <sz val="9"/>
            <color indexed="81"/>
            <rFont val="Tahoma"/>
            <family val="2"/>
          </rPr>
          <t>The text in this cell is red if:</t>
        </r>
        <r>
          <rPr>
            <sz val="9"/>
            <color indexed="81"/>
            <rFont val="Tahoma"/>
            <family val="2"/>
          </rPr>
          <t xml:space="preserve">
-The input voltage is above 75</t>
        </r>
        <r>
          <rPr>
            <b/>
            <sz val="9"/>
            <color indexed="10"/>
            <rFont val="Tahoma"/>
            <family val="2"/>
          </rPr>
          <t>V</t>
        </r>
        <r>
          <rPr>
            <sz val="9"/>
            <color indexed="81"/>
            <rFont val="Tahoma"/>
            <family val="2"/>
          </rPr>
          <t xml:space="preserve">
-The input voltage is below </t>
        </r>
        <r>
          <rPr>
            <b/>
            <sz val="9"/>
            <color indexed="10"/>
            <rFont val="Tahoma"/>
            <family val="2"/>
          </rPr>
          <t>6V</t>
        </r>
      </text>
    </comment>
    <comment ref="E51"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LM5145 input operating voltage range is 6V to 75V.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75V</t>
        </r>
        <r>
          <rPr>
            <sz val="9"/>
            <color indexed="81"/>
            <rFont val="Tahoma"/>
            <family val="2"/>
          </rPr>
          <t xml:space="preserve">
-The input voltage is below </t>
        </r>
        <r>
          <rPr>
            <b/>
            <sz val="9"/>
            <color indexed="10"/>
            <rFont val="Tahoma"/>
            <family val="2"/>
          </rPr>
          <t>6V</t>
        </r>
      </text>
    </comment>
    <comment ref="F60"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LM5145 design tool determines feedback compensation components based on this target performance metric.</t>
        </r>
      </text>
    </comment>
    <comment ref="E62"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6"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7"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8"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69"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4"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t>
        </r>
        <r>
          <rPr>
            <b/>
            <sz val="10"/>
            <color indexed="81"/>
            <rFont val="Tahoma"/>
            <family val="2"/>
          </rPr>
          <t>V</t>
        </r>
        <r>
          <rPr>
            <b/>
            <vertAlign val="subscript"/>
            <sz val="10"/>
            <color indexed="81"/>
            <rFont val="Tahoma"/>
            <family val="2"/>
          </rPr>
          <t>GS</t>
        </r>
        <r>
          <rPr>
            <b/>
            <sz val="10"/>
            <color indexed="81"/>
            <rFont val="Tahoma"/>
            <family val="2"/>
          </rPr>
          <t xml:space="preserve"> = 7.5V</t>
        </r>
        <r>
          <rPr>
            <sz val="10"/>
            <color indexed="81"/>
            <rFont val="Tahoma"/>
            <family val="2"/>
          </rPr>
          <t xml:space="preserve">).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5"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 (</t>
        </r>
        <r>
          <rPr>
            <b/>
            <sz val="10"/>
            <color indexed="81"/>
            <rFont val="Tahoma"/>
            <family val="2"/>
          </rPr>
          <t>V</t>
        </r>
        <r>
          <rPr>
            <b/>
            <vertAlign val="subscript"/>
            <sz val="10"/>
            <color indexed="81"/>
            <rFont val="Tahoma"/>
            <family val="2"/>
          </rPr>
          <t>GS</t>
        </r>
        <r>
          <rPr>
            <b/>
            <sz val="10"/>
            <color indexed="81"/>
            <rFont val="Tahoma"/>
            <family val="2"/>
          </rPr>
          <t xml:space="preserve"> = 7.5V</t>
        </r>
        <r>
          <rPr>
            <sz val="10"/>
            <color indexed="81"/>
            <rFont val="Tahoma"/>
            <family val="2"/>
          </rPr>
          <t>).</t>
        </r>
      </text>
    </comment>
    <comment ref="E86"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7"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of the high-side MOSFET here. </t>
        </r>
      </text>
    </comment>
    <comment ref="E88"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89"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0"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1"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2"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3"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6"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t>
        </r>
        <r>
          <rPr>
            <b/>
            <sz val="10"/>
            <color indexed="81"/>
            <rFont val="Tahoma"/>
            <family val="2"/>
          </rPr>
          <t>V</t>
        </r>
        <r>
          <rPr>
            <b/>
            <vertAlign val="subscript"/>
            <sz val="10"/>
            <color indexed="81"/>
            <rFont val="Tahoma"/>
            <family val="2"/>
          </rPr>
          <t>GS</t>
        </r>
        <r>
          <rPr>
            <b/>
            <sz val="10"/>
            <color indexed="81"/>
            <rFont val="Tahoma"/>
            <family val="2"/>
          </rPr>
          <t xml:space="preserve"> = 7.5V</t>
        </r>
        <r>
          <rPr>
            <sz val="10"/>
            <color indexed="81"/>
            <rFont val="Tahoma"/>
            <family val="2"/>
          </rPr>
          <t>).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7"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 (</t>
        </r>
        <r>
          <rPr>
            <b/>
            <sz val="10"/>
            <color indexed="81"/>
            <rFont val="Tahoma"/>
            <family val="2"/>
          </rPr>
          <t>V</t>
        </r>
        <r>
          <rPr>
            <b/>
            <vertAlign val="subscript"/>
            <sz val="10"/>
            <color indexed="81"/>
            <rFont val="Tahoma"/>
            <family val="2"/>
          </rPr>
          <t>GS</t>
        </r>
        <r>
          <rPr>
            <b/>
            <sz val="10"/>
            <color indexed="81"/>
            <rFont val="Tahoma"/>
            <family val="2"/>
          </rPr>
          <t xml:space="preserve"> = 7.5V</t>
        </r>
        <r>
          <rPr>
            <sz val="10"/>
            <color indexed="81"/>
            <rFont val="Tahoma"/>
            <family val="2"/>
          </rPr>
          <t>).</t>
        </r>
      </text>
    </comment>
    <comment ref="E98"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99"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0"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1"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2"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4"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5"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List>
</comments>
</file>

<file path=xl/sharedStrings.xml><?xml version="1.0" encoding="utf-8"?>
<sst xmlns="http://schemas.openxmlformats.org/spreadsheetml/2006/main" count="1359" uniqueCount="761">
  <si>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</si>
  <si>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</si>
  <si>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</si>
  <si>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</si>
  <si>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</si>
  <si>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</si>
  <si>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</si>
  <si>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</si>
  <si>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</si>
  <si>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</si>
  <si>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</si>
  <si>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</si>
  <si>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</si>
  <si>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</si>
  <si>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</si>
  <si>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</si>
  <si>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</si>
  <si>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</si>
  <si>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</si>
  <si>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</si>
  <si>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</si>
  <si>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</si>
  <si>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</si>
  <si>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</si>
  <si>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</si>
  <si>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</si>
  <si>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</si>
  <si>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</si>
  <si>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</si>
  <si>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</si>
  <si>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</si>
  <si>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</si>
  <si>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</si>
  <si>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</si>
  <si>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</si>
  <si>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</si>
  <si>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</si>
  <si>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</si>
  <si>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</si>
  <si>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</si>
  <si>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</si>
  <si>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</si>
  <si>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</si>
  <si>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</si>
  <si>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</si>
  <si>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</si>
  <si>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</si>
  <si>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</si>
  <si>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</si>
  <si>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</si>
  <si>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</si>
  <si>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</si>
  <si>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</si>
  <si>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</si>
  <si>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</si>
  <si>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</si>
  <si>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</si>
  <si>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</si>
  <si>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</si>
  <si>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</si>
  <si>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</si>
  <si>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</si>
  <si>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</si>
  <si>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</si>
  <si>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</si>
  <si>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</si>
  <si>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</si>
  <si>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</si>
  <si>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</si>
  <si>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</si>
  <si>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</si>
  <si>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</si>
  <si>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</si>
  <si>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</si>
  <si>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</si>
  <si>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</si>
  <si>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</si>
  <si>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</si>
  <si>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</si>
  <si>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</si>
  <si>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</si>
  <si>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</si>
  <si>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</si>
  <si>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</si>
  <si>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</si>
  <si>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</si>
  <si>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</si>
  <si>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</si>
  <si>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</si>
  <si>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</si>
  <si>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</si>
  <si>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</si>
  <si>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</si>
  <si>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</si>
  <si>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</si>
  <si>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</si>
  <si>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</si>
  <si>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</si>
  <si>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</si>
  <si>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</si>
  <si>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</si>
  <si>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</si>
  <si>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</si>
  <si>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</si>
  <si>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</si>
  <si>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</si>
  <si>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</si>
  <si>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</si>
  <si>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</si>
  <si>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</si>
  <si>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</si>
  <si>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</si>
  <si>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</si>
  <si>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</si>
  <si>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</si>
  <si>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</si>
  <si>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</si>
  <si>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</si>
  <si>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</si>
  <si>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</si>
  <si>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</si>
  <si>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</si>
  <si>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</si>
  <si>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</si>
  <si>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</si>
  <si>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</si>
  <si>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</si>
  <si>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</si>
  <si>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</si>
  <si>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</si>
  <si>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</si>
  <si>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</si>
  <si>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</si>
  <si>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</si>
  <si>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</si>
  <si>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</si>
  <si>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</si>
  <si>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</si>
  <si>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</si>
  <si>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</si>
  <si>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</si>
  <si>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</si>
  <si>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</si>
  <si>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</si>
  <si>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</si>
  <si>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</si>
  <si>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</si>
  <si>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</si>
  <si>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</si>
  <si>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</si>
  <si>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</si>
  <si>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</si>
  <si>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</si>
  <si>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</si>
  <si>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</si>
  <si>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</si>
  <si>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</si>
  <si>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</si>
  <si>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</si>
  <si>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</si>
  <si>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</si>
  <si>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</si>
  <si>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</si>
  <si>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</si>
  <si>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</si>
  <si>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</si>
  <si>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</si>
  <si>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</si>
  <si>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</si>
  <si>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</si>
  <si>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</si>
  <si>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</si>
  <si>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</si>
  <si>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</si>
  <si>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</si>
  <si>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</si>
  <si>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</si>
  <si>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</si>
  <si>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</si>
  <si>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</si>
  <si>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</si>
  <si>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</si>
  <si>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</si>
  <si>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</si>
  <si>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</si>
  <si>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</si>
  <si>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</si>
  <si>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</si>
  <si>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</si>
  <si>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</si>
  <si>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</si>
  <si>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</si>
  <si>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</si>
  <si>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</si>
  <si>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</si>
  <si>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</si>
  <si>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</si>
  <si>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</si>
  <si>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</si>
  <si>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</si>
  <si>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</si>
  <si>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</si>
  <si>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</si>
  <si>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</si>
  <si>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</si>
  <si>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</si>
  <si>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</si>
  <si>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</si>
  <si>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</si>
  <si>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</si>
  <si>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</si>
  <si>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</si>
  <si>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</si>
  <si>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</si>
  <si>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</si>
  <si>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</si>
  <si>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</si>
  <si>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</si>
  <si>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</si>
  <si>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</si>
  <si>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</si>
  <si>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</si>
  <si>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</si>
  <si>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</si>
  <si>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</si>
  <si>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</si>
  <si>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</si>
  <si>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</si>
  <si>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</si>
  <si>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</si>
  <si>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</si>
  <si>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</si>
  <si>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</si>
  <si>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</si>
  <si>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</si>
  <si>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</si>
  <si>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</si>
  <si>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</si>
  <si>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</si>
  <si>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</si>
  <si>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</si>
  <si>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</si>
  <si>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</si>
  <si>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</si>
  <si>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</si>
  <si>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</si>
  <si>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</si>
  <si>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</si>
  <si>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</si>
  <si>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</si>
  <si>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</si>
  <si>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</si>
  <si>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</si>
  <si>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</si>
  <si>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</si>
  <si>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</si>
  <si>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</si>
  <si>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</si>
  <si>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</si>
  <si>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</si>
  <si>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</si>
  <si>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</si>
  <si>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</si>
  <si>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</si>
  <si>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</si>
  <si>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</si>
  <si>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</si>
  <si>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</si>
  <si>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</si>
  <si>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</si>
  <si>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</si>
  <si>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</si>
  <si>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</si>
  <si>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</si>
  <si>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</si>
  <si>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</si>
  <si>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</si>
  <si>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</si>
  <si>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</si>
  <si>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</si>
  <si>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</si>
  <si>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</si>
  <si>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</si>
  <si>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</si>
  <si>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</si>
  <si>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</si>
  <si>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</si>
  <si>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</si>
  <si>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</si>
  <si>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</si>
  <si>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</si>
  <si>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</si>
  <si>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</si>
  <si>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</si>
  <si>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</si>
  <si>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</si>
  <si>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</si>
  <si>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</si>
  <si>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</si>
  <si>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</si>
  <si>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</si>
  <si>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</si>
  <si>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</si>
  <si>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</si>
  <si>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</si>
  <si>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</si>
  <si>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</si>
  <si>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</si>
  <si>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</si>
  <si>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</si>
  <si>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</si>
  <si>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</si>
  <si>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</si>
  <si>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</si>
  <si>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</si>
  <si>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</si>
  <si>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</si>
  <si>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</si>
  <si>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</si>
  <si>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</si>
  <si>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</si>
  <si>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</si>
  <si>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</si>
  <si>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</si>
  <si>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</si>
  <si>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</si>
  <si>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</si>
  <si>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</si>
  <si>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</si>
  <si>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</si>
  <si>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</si>
  <si>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</si>
  <si>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</si>
  <si>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</si>
  <si>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</si>
  <si>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</si>
  <si>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</si>
  <si>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</si>
  <si>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</si>
  <si>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</si>
  <si>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</si>
  <si>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</si>
  <si>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</si>
  <si>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</si>
  <si>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</si>
  <si>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</si>
  <si>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</si>
  <si>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</si>
  <si>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</si>
  <si>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</si>
  <si>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</si>
  <si>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</si>
  <si>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</si>
  <si>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</si>
  <si>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</si>
  <si>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</si>
  <si>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</si>
  <si>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</si>
  <si>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</si>
  <si>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</si>
  <si>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</si>
  <si>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</si>
  <si>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</si>
  <si>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</si>
  <si>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</si>
  <si>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</si>
  <si>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</si>
  <si>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</si>
  <si>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</si>
  <si>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</si>
  <si>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</si>
  <si>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</si>
  <si>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</si>
  <si>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</si>
  <si>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</si>
  <si>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</si>
  <si>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</si>
  <si>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</si>
  <si>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</si>
  <si>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</si>
  <si>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</si>
  <si>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</si>
  <si>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</si>
  <si>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</si>
  <si>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</si>
  <si>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</si>
  <si>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</si>
  <si>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</si>
  <si>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</si>
  <si>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</si>
  <si>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</si>
  <si>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</si>
  <si>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</si>
  <si>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</si>
  <si>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</si>
  <si>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</si>
  <si>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</si>
  <si>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</si>
  <si>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</si>
  <si>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</si>
  <si>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</si>
  <si>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</si>
  <si>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</si>
  <si>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</si>
  <si>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</si>
  <si>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</si>
  <si>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</si>
  <si>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</si>
  <si>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</si>
  <si>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</si>
  <si>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</si>
  <si>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</si>
  <si>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</si>
  <si>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</si>
  <si>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</si>
  <si>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</si>
  <si>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</si>
  <si>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</si>
  <si>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</si>
  <si>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</si>
  <si>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</si>
  <si>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</si>
  <si>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</si>
  <si>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</si>
  <si>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</si>
  <si>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</si>
  <si>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</si>
  <si>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</si>
  <si>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</si>
  <si>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</si>
  <si>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</si>
  <si>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</si>
  <si>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</si>
  <si>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</si>
  <si>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</si>
  <si>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</si>
  <si>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</si>
  <si>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</si>
  <si>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</si>
  <si>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</si>
  <si>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</si>
  <si>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</si>
  <si>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</si>
  <si>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</si>
  <si>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</si>
  <si>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</si>
  <si>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</si>
  <si>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</si>
  <si>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</si>
  <si>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</si>
  <si>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</si>
  <si>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</si>
  <si>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</si>
  <si>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</si>
  <si>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</si>
  <si>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</si>
  <si>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</si>
  <si>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</si>
  <si>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</si>
  <si>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</si>
  <si>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</si>
  <si>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</si>
  <si>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</si>
  <si>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</si>
  <si>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</si>
  <si>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</si>
  <si>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</si>
  <si>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</si>
  <si>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</si>
  <si>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</si>
  <si>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</si>
  <si>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</si>
  <si>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</si>
  <si>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</si>
  <si>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</si>
  <si>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</si>
  <si>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</si>
  <si>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</si>
  <si>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</si>
  <si>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</si>
  <si>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</si>
  <si>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</si>
  <si>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</si>
  <si>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</si>
  <si>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</si>
  <si>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</si>
  <si>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</si>
  <si>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</si>
  <si>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</si>
  <si>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</si>
  <si>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</si>
  <si>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</si>
  <si>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</si>
  <si>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</si>
  <si>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</si>
  <si>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</si>
  <si>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</si>
  <si>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</si>
  <si>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</si>
  <si>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</si>
  <si>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</si>
  <si>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</si>
  <si>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</si>
  <si>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</si>
  <si>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</si>
  <si>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</si>
  <si>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</si>
  <si>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</si>
  <si>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</si>
  <si>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</si>
  <si>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</si>
  <si>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</si>
  <si>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</si>
  <si>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</si>
  <si>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</si>
  <si>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</si>
  <si>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</si>
  <si>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</si>
  <si>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</si>
  <si>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</si>
  <si>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</si>
  <si>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</si>
  <si>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</si>
  <si>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</si>
  <si>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</si>
  <si>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</si>
  <si>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</si>
  <si>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</si>
  <si>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</si>
  <si>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</si>
  <si>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</si>
  <si>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</si>
  <si>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</si>
  <si>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</si>
  <si>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</si>
  <si>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</si>
  <si>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</si>
  <si>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</si>
  <si>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</si>
  <si>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</si>
  <si>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</si>
  <si>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</si>
  <si>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</si>
  <si>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</si>
  <si>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</si>
  <si>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</si>
  <si>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</si>
  <si>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</si>
  <si>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</si>
  <si>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</si>
  <si>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</si>
  <si>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</si>
  <si>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</si>
  <si>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</si>
  <si>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</si>
  <si>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Gate-Source Threshold Voltage, V</t>
    </r>
    <r>
      <rPr>
        <b/>
        <vertAlign val="subscript"/>
        <sz val="10"/>
        <rFont val="Arial"/>
        <family val="2"/>
      </rPr>
      <t>GS(TH)</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</si>
  <si>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</si>
  <si>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</si>
  <si>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</si>
  <si>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</si>
  <si>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</si>
  <si>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</si>
  <si>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</si>
  <si>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</si>
  <si>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</si>
  <si>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</si>
  <si>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</si>
  <si>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</si>
  <si>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</si>
  <si>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</si>
  <si>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</si>
  <si>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</si>
  <si>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</si>
  <si>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</si>
  <si>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</si>
  <si>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</si>
  <si>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</si>
  <si>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</si>
  <si>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</si>
  <si>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</si>
  <si>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</si>
  <si>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</si>
  <si>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</si>
  <si>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</si>
  <si>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</si>
  <si>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</si>
  <si>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</si>
  <si>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</si>
  <si>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</si>
  <si>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</si>
  <si>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</si>
  <si>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</si>
  <si>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</si>
  <si>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</si>
  <si>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</si>
  <si>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</si>
  <si>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</si>
  <si>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</si>
  <si>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</si>
  <si>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</si>
  <si>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</si>
  <si>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</si>
  <si>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</si>
  <si>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</si>
  <si>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</si>
  <si>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</si>
  <si>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</si>
  <si>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</si>
  <si>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</si>
  <si>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</si>
  <si>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</si>
  <si>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</si>
  <si>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</si>
  <si>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</si>
  <si>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</si>
  <si>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</si>
  <si>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</si>
  <si>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</si>
  <si>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</si>
  <si>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</si>
  <si>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</si>
  <si>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</si>
  <si>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</si>
  <si>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</si>
  <si>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</si>
  <si>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</si>
  <si>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</si>
  <si>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</si>
  <si>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</si>
  <si>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</si>
  <si>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</si>
  <si>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</si>
  <si>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</si>
  <si>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</si>
  <si>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</si>
  <si>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</si>
  <si>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</si>
  <si>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</si>
  <si>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</si>
  <si>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</si>
  <si>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</si>
  <si>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</si>
  <si>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</si>
  <si>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</si>
  <si>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</si>
  <si>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</si>
  <si>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</si>
  <si>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</si>
  <si>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</si>
  <si>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</si>
  <si>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</si>
  <si>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</si>
  <si>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</si>
  <si>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</si>
  <si>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</si>
  <si>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</si>
  <si>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</si>
  <si>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</si>
  <si>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</si>
  <si>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</si>
  <si>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</si>
  <si>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</si>
  <si>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</si>
  <si>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</si>
  <si>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</si>
  <si>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</si>
  <si>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</si>
  <si>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</si>
  <si>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</si>
  <si>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</si>
  <si>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</si>
  <si>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</si>
  <si>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</si>
  <si>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</si>
  <si>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</si>
  <si>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</si>
  <si>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</si>
  <si>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</si>
  <si>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</si>
  <si>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</si>
  <si>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</si>
  <si>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</si>
  <si>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</si>
  <si>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</si>
  <si>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</si>
  <si>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</si>
  <si>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</si>
  <si>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</si>
  <si>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</si>
  <si>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</si>
  <si>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</si>
  <si>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</si>
  <si>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</si>
  <si>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</si>
  <si>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</si>
  <si>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</si>
  <si>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</si>
  <si>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</si>
  <si>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</si>
  <si>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</si>
  <si>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</si>
  <si>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</si>
  <si>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</si>
  <si>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</si>
  <si>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</si>
  <si>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</si>
  <si>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</si>
  <si>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</si>
  <si>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</si>
  <si>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</si>
  <si>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</si>
  <si>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</si>
  <si>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</si>
  <si>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</si>
  <si>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</si>
  <si>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</si>
  <si>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</si>
  <si>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</si>
  <si>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</si>
  <si>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</si>
  <si>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</si>
  <si>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</si>
  <si>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</si>
  <si>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</si>
  <si>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</si>
  <si>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</si>
  <si>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</si>
  <si>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</si>
  <si>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</si>
  <si>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</si>
  <si>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</si>
  <si>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</si>
  <si>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</si>
  <si>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</si>
  <si>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</si>
  <si>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</si>
  <si>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</si>
  <si>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</si>
  <si>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</si>
  <si>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</si>
  <si>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</si>
  <si>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</si>
  <si>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LM5145EVM-HD-20A PCB Layout</t>
  </si>
  <si>
    <t>Layer 2</t>
  </si>
  <si>
    <t>Layer 3</t>
  </si>
  <si>
    <t>Layer</t>
  </si>
  <si>
    <t>Bottom</t>
  </si>
  <si>
    <t>Top</t>
  </si>
  <si>
    <t>LM5145RGYR</t>
  </si>
  <si>
    <t>IC, LM5145, PWM Controller, 6V-42V Input</t>
  </si>
  <si>
    <t>LM5145</t>
  </si>
  <si>
    <t xml:space="preserve">                       LM5145 DC-DC Controller Design Tool</t>
  </si>
  <si>
    <t>SW node voltage at Q1 turn-on</t>
  </si>
  <si>
    <t>Peak Inductor Current</t>
  </si>
  <si>
    <t>Valley Inductor Current</t>
  </si>
  <si>
    <t>Transitional Loss (not including capacitive loss)</t>
  </si>
  <si>
    <t>** Specify Inductor Core Loss **</t>
  </si>
  <si>
    <t>Total Bottom FET Diss/Loss</t>
  </si>
  <si>
    <t>BSC117N08NS5</t>
  </si>
  <si>
    <t>BSC037N08NS5</t>
  </si>
  <si>
    <t xml:space="preserve"> LM5145 Quickstart Calculator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</si>
</sst>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6" x14ac:knownFonts="1">
    <font>
      <sz val="10"/>
      <name val="Arial"/>
    </font>
    <font>
      <sz val="11"/>
      <color theme="1"/>
      <name val="宋体"/>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sz val="32"/>
      <color theme="0"/>
      <name val="Arial"/>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9"/>
      <name val="宋体"/>
      <family val="3"/>
      <charset val="134"/>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5">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cellStyleXfs>
  <cellXfs count="621">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0" fillId="0" borderId="0" xfId="0" applyBorder="1"/>
    <xf numFmtId="2" fontId="0" fillId="0" borderId="0" xfId="0" applyNumberFormat="1" applyBorder="1"/>
    <xf numFmtId="0" fontId="7" fillId="4" borderId="1" xfId="0" applyFont="1" applyFill="1" applyBorder="1" applyAlignment="1"/>
    <xf numFmtId="0" fontId="7" fillId="4" borderId="2" xfId="0" applyFont="1" applyFill="1" applyBorder="1" applyAlignment="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7" fillId="4" borderId="1" xfId="0" applyFont="1" applyFill="1" applyBorder="1"/>
    <xf numFmtId="0" fontId="0" fillId="4" borderId="2" xfId="0" applyFill="1" applyBorder="1"/>
    <xf numFmtId="0" fontId="17" fillId="3" borderId="4" xfId="0" applyFont="1" applyFill="1" applyBorder="1" applyAlignment="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applyAlignment="1"/>
    <xf numFmtId="0" fontId="3" fillId="5" borderId="9" xfId="0" applyFont="1" applyFill="1" applyBorder="1" applyAlignment="1"/>
    <xf numFmtId="0" fontId="3" fillId="5" borderId="10" xfId="0" applyFont="1" applyFill="1" applyBorder="1" applyAlignment="1"/>
    <xf numFmtId="0" fontId="3" fillId="5" borderId="11" xfId="0" applyFont="1" applyFill="1" applyBorder="1"/>
    <xf numFmtId="0" fontId="8" fillId="0" borderId="0" xfId="0" applyNumberFormat="1" applyFont="1" applyProtection="1">
      <protection locked="0"/>
    </xf>
    <xf numFmtId="0" fontId="0" fillId="0" borderId="0" xfId="0" applyNumberFormat="1" applyProtection="1">
      <protection locked="0"/>
    </xf>
    <xf numFmtId="0" fontId="0" fillId="6" borderId="12" xfId="0" applyFill="1" applyBorder="1"/>
    <xf numFmtId="0" fontId="0" fillId="0" borderId="11" xfId="0" applyFill="1" applyBorder="1"/>
    <xf numFmtId="0" fontId="0" fillId="6" borderId="11" xfId="0" applyFill="1" applyBorder="1"/>
    <xf numFmtId="0" fontId="0" fillId="4" borderId="11" xfId="0" applyFill="1" applyBorder="1"/>
    <xf numFmtId="0" fontId="3" fillId="5" borderId="0" xfId="0" applyFont="1" applyFill="1"/>
    <xf numFmtId="0" fontId="0" fillId="6" borderId="0" xfId="0" applyFill="1" applyBorder="1"/>
    <xf numFmtId="0" fontId="0" fillId="2" borderId="0" xfId="0" applyFill="1" applyBorder="1"/>
    <xf numFmtId="0" fontId="0" fillId="0" borderId="13" xfId="0" applyFill="1" applyBorder="1"/>
    <xf numFmtId="0" fontId="8" fillId="2" borderId="0" xfId="0" applyFont="1" applyFill="1"/>
    <xf numFmtId="0" fontId="0" fillId="0" borderId="11" xfId="0" applyBorder="1"/>
    <xf numFmtId="0" fontId="0" fillId="6" borderId="13" xfId="0" applyFill="1" applyBorder="1"/>
    <xf numFmtId="0" fontId="0" fillId="4" borderId="0" xfId="0" applyFill="1" applyBorder="1"/>
    <xf numFmtId="11" fontId="0" fillId="0" borderId="0" xfId="0" applyNumberFormat="1"/>
    <xf numFmtId="0" fontId="13" fillId="3" borderId="0" xfId="0" applyFont="1" applyFill="1"/>
    <xf numFmtId="0" fontId="0" fillId="0" borderId="0" xfId="0" applyFill="1"/>
    <xf numFmtId="0" fontId="3" fillId="5" borderId="8" xfId="0" applyFont="1" applyFill="1" applyBorder="1"/>
    <xf numFmtId="0" fontId="3" fillId="5" borderId="9" xfId="0" applyFont="1" applyFill="1" applyBorder="1"/>
    <xf numFmtId="0" fontId="0" fillId="4" borderId="12" xfId="0" applyFill="1" applyBorder="1"/>
    <xf numFmtId="0" fontId="0" fillId="4" borderId="14" xfId="0" applyFill="1" applyBorder="1"/>
    <xf numFmtId="0" fontId="3" fillId="4" borderId="11" xfId="0" applyFont="1" applyFill="1" applyBorder="1"/>
    <xf numFmtId="0" fontId="0" fillId="0" borderId="0" xfId="0" applyFill="1" applyBorder="1"/>
    <xf numFmtId="0" fontId="0" fillId="6" borderId="8" xfId="0" applyFill="1" applyBorder="1"/>
    <xf numFmtId="0" fontId="0" fillId="4" borderId="8" xfId="0" applyFill="1" applyBorder="1"/>
    <xf numFmtId="0" fontId="3" fillId="5" borderId="4" xfId="0" applyFont="1" applyFill="1" applyBorder="1" applyAlignment="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3" fillId="0" borderId="0" xfId="0" applyFont="1" applyFill="1" applyBorder="1"/>
    <xf numFmtId="0" fontId="0" fillId="11" borderId="0" xfId="0" applyFill="1"/>
    <xf numFmtId="0" fontId="0" fillId="0" borderId="0" xfId="0" applyAlignment="1">
      <alignment horizontal="right"/>
    </xf>
    <xf numFmtId="0" fontId="18" fillId="0" borderId="0" xfId="0" applyFont="1"/>
    <xf numFmtId="0" fontId="3" fillId="0" borderId="0" xfId="0" applyFont="1" applyFill="1" applyBorder="1" applyAlignment="1" applyProtection="1">
      <alignment horizontal="center"/>
    </xf>
    <xf numFmtId="184" fontId="21" fillId="0" borderId="0" xfId="0" applyNumberFormat="1" applyFont="1" applyFill="1" applyBorder="1" applyAlignment="1" applyProtection="1">
      <alignment horizontal="center"/>
    </xf>
    <xf numFmtId="184" fontId="8" fillId="0" borderId="0" xfId="0" applyNumberFormat="1" applyFont="1" applyFill="1" applyBorder="1" applyAlignment="1" applyProtection="1">
      <alignment horizontal="center"/>
    </xf>
    <xf numFmtId="184" fontId="8" fillId="0" borderId="0" xfId="0" applyNumberFormat="1" applyFont="1" applyFill="1" applyBorder="1" applyAlignment="1" applyProtection="1">
      <alignment horizontal="center"/>
      <protection locked="0"/>
    </xf>
    <xf numFmtId="184" fontId="8" fillId="0" borderId="0" xfId="0" applyNumberFormat="1" applyFont="1" applyBorder="1" applyAlignment="1" applyProtection="1">
      <alignment horizontal="center"/>
      <protection locked="0"/>
    </xf>
    <xf numFmtId="184" fontId="8" fillId="0" borderId="0" xfId="0" applyNumberFormat="1" applyFont="1" applyAlignment="1" applyProtection="1">
      <alignment horizontal="center"/>
      <protection locked="0"/>
    </xf>
    <xf numFmtId="184" fontId="8" fillId="0" borderId="0" xfId="0" applyNumberFormat="1" applyFont="1" applyBorder="1" applyAlignment="1" applyProtection="1">
      <alignment horizontal="center"/>
    </xf>
    <xf numFmtId="184" fontId="8" fillId="0" borderId="0" xfId="0" applyNumberFormat="1" applyFont="1" applyFill="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0" borderId="0" xfId="0" applyFont="1" applyFill="1" applyAlignment="1">
      <alignment horizontal="center"/>
    </xf>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0" fontId="0" fillId="0" borderId="0" xfId="0" applyNumberFormat="1"/>
    <xf numFmtId="0" fontId="7" fillId="4" borderId="2" xfId="0" applyNumberFormat="1" applyFont="1" applyFill="1" applyBorder="1" applyAlignment="1"/>
    <xf numFmtId="0" fontId="3" fillId="2" borderId="6" xfId="0" applyNumberFormat="1" applyFont="1" applyFill="1" applyBorder="1" applyAlignment="1">
      <alignment horizontal="center" vertical="top" wrapText="1"/>
    </xf>
    <xf numFmtId="184" fontId="18" fillId="3" borderId="0" xfId="0" applyNumberFormat="1" applyFont="1" applyFill="1" applyBorder="1" applyAlignment="1" applyProtection="1">
      <alignment horizontal="center"/>
    </xf>
    <xf numFmtId="184" fontId="27" fillId="3" borderId="0" xfId="0" applyNumberFormat="1" applyFont="1" applyFill="1" applyBorder="1" applyAlignment="1" applyProtection="1">
      <alignment horizontal="center"/>
    </xf>
    <xf numFmtId="0" fontId="0" fillId="0" borderId="29" xfId="0" applyBorder="1"/>
    <xf numFmtId="0" fontId="0" fillId="0" borderId="30" xfId="0" applyBorder="1"/>
    <xf numFmtId="0" fontId="8" fillId="0" borderId="29" xfId="0" applyFont="1" applyBorder="1"/>
    <xf numFmtId="0" fontId="0" fillId="14" borderId="0" xfId="0" applyFill="1" applyBorder="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applyBorder="1"/>
    <xf numFmtId="0" fontId="8" fillId="13" borderId="0" xfId="0" applyFont="1" applyFill="1" applyBorder="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applyBorder="1"/>
    <xf numFmtId="0" fontId="0" fillId="13" borderId="0" xfId="0" applyFill="1" applyBorder="1"/>
    <xf numFmtId="1" fontId="3" fillId="13" borderId="0" xfId="0" applyNumberFormat="1" applyFont="1" applyFill="1" applyBorder="1" applyAlignment="1">
      <alignment horizontal="right"/>
    </xf>
    <xf numFmtId="0" fontId="3" fillId="13" borderId="0" xfId="0" applyFont="1" applyFill="1" applyBorder="1"/>
    <xf numFmtId="11" fontId="0" fillId="13" borderId="0" xfId="0" applyNumberFormat="1" applyFill="1" applyBorder="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applyBorder="1"/>
    <xf numFmtId="0" fontId="0" fillId="0" borderId="0" xfId="0" applyBorder="1" applyAlignment="1">
      <alignment horizontal="right"/>
    </xf>
    <xf numFmtId="0" fontId="0" fillId="0" borderId="32" xfId="0" applyBorder="1" applyAlignment="1">
      <alignment horizontal="right"/>
    </xf>
    <xf numFmtId="0" fontId="0" fillId="5" borderId="0" xfId="0" applyFill="1" applyBorder="1"/>
    <xf numFmtId="0" fontId="7" fillId="0" borderId="0" xfId="0" applyFont="1" applyBorder="1"/>
    <xf numFmtId="0" fontId="3" fillId="0" borderId="0" xfId="0" applyFont="1" applyBorder="1"/>
    <xf numFmtId="11" fontId="7" fillId="0" borderId="32" xfId="0" applyNumberFormat="1" applyFont="1" applyBorder="1"/>
    <xf numFmtId="11" fontId="0" fillId="4" borderId="0" xfId="0" applyNumberFormat="1" applyFill="1" applyBorder="1"/>
    <xf numFmtId="0" fontId="0" fillId="2" borderId="0" xfId="0" applyFill="1" applyProtection="1">
      <protection locked="0"/>
    </xf>
    <xf numFmtId="0" fontId="0" fillId="2" borderId="11" xfId="0" applyFill="1" applyBorder="1" applyProtection="1">
      <protection locked="0"/>
    </xf>
    <xf numFmtId="0" fontId="0" fillId="10" borderId="0" xfId="0" applyFill="1" applyBorder="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applyAlignment="1"/>
    <xf numFmtId="0" fontId="8" fillId="10" borderId="11" xfId="0" applyFont="1" applyFill="1" applyBorder="1"/>
    <xf numFmtId="0" fontId="3" fillId="0" borderId="0" xfId="0" applyFont="1" applyFill="1" applyBorder="1" applyAlignment="1"/>
    <xf numFmtId="0" fontId="8" fillId="0" borderId="0" xfId="0" applyFont="1" applyFill="1" applyBorder="1"/>
    <xf numFmtId="0" fontId="18" fillId="3" borderId="0" xfId="0" applyFont="1" applyFill="1" applyBorder="1" applyProtection="1"/>
    <xf numFmtId="0" fontId="18" fillId="3" borderId="0" xfId="0" applyFont="1" applyFill="1" applyProtection="1"/>
    <xf numFmtId="0" fontId="19" fillId="10" borderId="0" xfId="0" applyFont="1" applyFill="1" applyBorder="1" applyAlignment="1" applyProtection="1"/>
    <xf numFmtId="0" fontId="18" fillId="10" borderId="0" xfId="0" applyFont="1" applyFill="1" applyBorder="1" applyAlignment="1" applyProtection="1">
      <alignment horizontal="right"/>
    </xf>
    <xf numFmtId="0" fontId="19" fillId="10" borderId="0" xfId="0" applyFont="1" applyFill="1" applyBorder="1" applyAlignment="1" applyProtection="1">
      <alignment horizontal="right"/>
    </xf>
    <xf numFmtId="0" fontId="18" fillId="10" borderId="0" xfId="0" applyFont="1" applyFill="1" applyBorder="1" applyProtection="1"/>
    <xf numFmtId="0" fontId="27" fillId="16" borderId="20" xfId="0" applyFont="1" applyFill="1" applyBorder="1" applyProtection="1"/>
    <xf numFmtId="0" fontId="27" fillId="16" borderId="21" xfId="0" applyFont="1" applyFill="1" applyBorder="1" applyProtection="1"/>
    <xf numFmtId="0" fontId="27" fillId="3" borderId="0" xfId="0" applyFont="1" applyFill="1" applyProtection="1"/>
    <xf numFmtId="0" fontId="18" fillId="10" borderId="0" xfId="0" applyFont="1" applyFill="1" applyBorder="1" applyAlignment="1" applyProtection="1">
      <alignment horizontal="center"/>
    </xf>
    <xf numFmtId="0" fontId="18" fillId="10" borderId="0" xfId="0" applyFont="1" applyFill="1" applyBorder="1" applyAlignment="1" applyProtection="1">
      <alignment horizontal="left"/>
    </xf>
    <xf numFmtId="184" fontId="18" fillId="3" borderId="0" xfId="0" applyNumberFormat="1" applyFont="1" applyFill="1" applyAlignment="1" applyProtection="1">
      <alignment horizontal="center"/>
    </xf>
    <xf numFmtId="0" fontId="23" fillId="0" borderId="0" xfId="0" applyFont="1" applyBorder="1"/>
    <xf numFmtId="0" fontId="3" fillId="0" borderId="0" xfId="0" applyFont="1" applyBorder="1" applyAlignment="1">
      <alignment horizontal="center"/>
    </xf>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applyBorder="1"/>
    <xf numFmtId="0" fontId="3" fillId="0" borderId="29" xfId="0" applyFont="1" applyFill="1" applyBorder="1"/>
    <xf numFmtId="0" fontId="8" fillId="0" borderId="29" xfId="0" applyFont="1" applyFill="1" applyBorder="1"/>
    <xf numFmtId="0" fontId="0" fillId="0" borderId="2" xfId="0" applyBorder="1" applyAlignment="1"/>
    <xf numFmtId="0" fontId="0" fillId="17" borderId="0" xfId="0" applyFill="1" applyBorder="1"/>
    <xf numFmtId="2" fontId="0" fillId="18" borderId="0" xfId="0" applyNumberFormat="1" applyFill="1" applyBorder="1"/>
    <xf numFmtId="0" fontId="31" fillId="0" borderId="0" xfId="0" applyFont="1" applyBorder="1"/>
    <xf numFmtId="0" fontId="31" fillId="4" borderId="0" xfId="0" applyFont="1" applyFill="1" applyBorder="1"/>
    <xf numFmtId="0" fontId="0" fillId="0" borderId="0" xfId="0" applyFont="1" applyFill="1" applyBorder="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0" xfId="0" applyFont="1" applyFill="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applyBorder="1"/>
    <xf numFmtId="0" fontId="0" fillId="18" borderId="0" xfId="0" applyFill="1" applyBorder="1"/>
    <xf numFmtId="0" fontId="31" fillId="18" borderId="35" xfId="0" applyFont="1" applyFill="1" applyBorder="1"/>
    <xf numFmtId="0" fontId="8" fillId="0" borderId="32" xfId="0" applyFont="1" applyBorder="1"/>
    <xf numFmtId="0" fontId="8" fillId="14" borderId="0" xfId="0" applyFont="1" applyFill="1" applyBorder="1"/>
    <xf numFmtId="0" fontId="18" fillId="10" borderId="30" xfId="0" applyFont="1" applyFill="1" applyBorder="1" applyProtection="1"/>
    <xf numFmtId="0" fontId="20" fillId="10" borderId="0" xfId="0" applyFont="1" applyFill="1" applyBorder="1" applyProtection="1"/>
    <xf numFmtId="2" fontId="18" fillId="10" borderId="0" xfId="0" applyNumberFormat="1" applyFont="1" applyFill="1" applyBorder="1" applyProtection="1"/>
    <xf numFmtId="179" fontId="18" fillId="10" borderId="0" xfId="0" applyNumberFormat="1" applyFont="1" applyFill="1" applyBorder="1" applyProtection="1"/>
    <xf numFmtId="182" fontId="18" fillId="10" borderId="0" xfId="0" applyNumberFormat="1" applyFont="1" applyFill="1" applyBorder="1" applyProtection="1"/>
    <xf numFmtId="178" fontId="18" fillId="10" borderId="0" xfId="0" applyNumberFormat="1" applyFont="1" applyFill="1" applyBorder="1" applyProtection="1"/>
    <xf numFmtId="2" fontId="7" fillId="4" borderId="0" xfId="0" applyNumberFormat="1" applyFont="1" applyFill="1" applyBorder="1"/>
    <xf numFmtId="180" fontId="0" fillId="13" borderId="0" xfId="0" applyNumberFormat="1" applyFill="1" applyBorder="1"/>
    <xf numFmtId="0" fontId="11" fillId="0" borderId="0" xfId="1" applyAlignment="1" applyProtection="1"/>
    <xf numFmtId="2" fontId="31" fillId="13" borderId="0" xfId="0" applyNumberFormat="1" applyFont="1" applyFill="1" applyBorder="1"/>
    <xf numFmtId="179" fontId="31" fillId="18" borderId="0" xfId="0" applyNumberFormat="1" applyFont="1" applyFill="1" applyBorder="1"/>
    <xf numFmtId="0" fontId="18" fillId="19" borderId="0" xfId="0" applyFont="1" applyFill="1" applyProtection="1"/>
    <xf numFmtId="0" fontId="0" fillId="0" borderId="29" xfId="0" applyFill="1" applyBorder="1"/>
    <xf numFmtId="0" fontId="2" fillId="0" borderId="0" xfId="0" applyFont="1"/>
    <xf numFmtId="0" fontId="2" fillId="0" borderId="0" xfId="0" applyFont="1" applyBorder="1"/>
    <xf numFmtId="2" fontId="2" fillId="0" borderId="0" xfId="0" quotePrefix="1" applyNumberFormat="1" applyFont="1" applyBorder="1"/>
    <xf numFmtId="0" fontId="0" fillId="0" borderId="0" xfId="0" applyBorder="1" applyAlignment="1">
      <alignment horizontal="left"/>
    </xf>
    <xf numFmtId="0" fontId="2" fillId="0" borderId="2" xfId="0" applyFont="1" applyBorder="1"/>
    <xf numFmtId="0" fontId="0" fillId="0" borderId="31" xfId="0" applyFill="1" applyBorder="1"/>
    <xf numFmtId="0" fontId="2" fillId="0" borderId="32" xfId="0" applyFont="1" applyBorder="1"/>
    <xf numFmtId="0" fontId="34" fillId="10" borderId="0" xfId="0" applyFont="1" applyFill="1" applyBorder="1" applyAlignment="1" applyProtection="1"/>
    <xf numFmtId="0" fontId="18" fillId="19" borderId="0" xfId="0" applyFont="1" applyFill="1" applyBorder="1" applyProtection="1"/>
    <xf numFmtId="0" fontId="22" fillId="22" borderId="0" xfId="0" applyFont="1" applyFill="1" applyBorder="1" applyAlignment="1" applyProtection="1">
      <alignment vertical="center"/>
    </xf>
    <xf numFmtId="0" fontId="0" fillId="21" borderId="0" xfId="0" applyFill="1"/>
    <xf numFmtId="0" fontId="25" fillId="10" borderId="0" xfId="0" applyNumberFormat="1" applyFont="1" applyFill="1" applyBorder="1" applyAlignment="1" applyProtection="1">
      <alignment horizontal="right"/>
    </xf>
    <xf numFmtId="0" fontId="3" fillId="10" borderId="0" xfId="0" applyFont="1" applyFill="1" applyBorder="1" applyAlignment="1" applyProtection="1">
      <alignment horizontal="right"/>
    </xf>
    <xf numFmtId="0" fontId="2" fillId="10" borderId="0" xfId="0" applyFont="1" applyFill="1" applyBorder="1" applyAlignment="1" applyProtection="1">
      <alignment horizontal="right"/>
    </xf>
    <xf numFmtId="0" fontId="2" fillId="10" borderId="32" xfId="0" applyFont="1" applyFill="1" applyBorder="1" applyAlignment="1" applyProtection="1">
      <alignment horizontal="right"/>
    </xf>
    <xf numFmtId="0" fontId="2" fillId="10" borderId="29" xfId="0" applyFont="1" applyFill="1" applyBorder="1" applyProtection="1"/>
    <xf numFmtId="0" fontId="2" fillId="10" borderId="0" xfId="0" applyFont="1" applyFill="1" applyBorder="1" applyProtection="1"/>
    <xf numFmtId="0" fontId="3" fillId="22" borderId="0" xfId="0" applyNumberFormat="1" applyFont="1" applyFill="1" applyBorder="1" applyProtection="1">
      <protection locked="0"/>
    </xf>
    <xf numFmtId="0" fontId="59" fillId="10" borderId="0" xfId="0" applyFont="1" applyFill="1" applyBorder="1" applyProtection="1"/>
    <xf numFmtId="1" fontId="3" fillId="22" borderId="0" xfId="0" applyNumberFormat="1" applyFont="1" applyFill="1" applyBorder="1" applyProtection="1">
      <protection locked="0"/>
    </xf>
    <xf numFmtId="0" fontId="60" fillId="10" borderId="0" xfId="0" applyFont="1" applyFill="1" applyBorder="1" applyProtection="1"/>
    <xf numFmtId="0" fontId="6" fillId="10" borderId="0" xfId="0" applyFont="1" applyFill="1" applyBorder="1" applyAlignment="1" applyProtection="1">
      <alignment horizontal="right"/>
    </xf>
    <xf numFmtId="0" fontId="58" fillId="10" borderId="0" xfId="0" applyFont="1" applyFill="1" applyBorder="1" applyProtection="1"/>
    <xf numFmtId="0" fontId="61" fillId="10" borderId="0" xfId="0" applyFont="1" applyFill="1" applyBorder="1" applyAlignment="1" applyProtection="1"/>
    <xf numFmtId="0" fontId="3" fillId="10" borderId="0" xfId="0" applyFont="1" applyFill="1" applyBorder="1" applyAlignment="1" applyProtection="1"/>
    <xf numFmtId="180" fontId="3" fillId="10" borderId="0" xfId="0" applyNumberFormat="1" applyFont="1" applyFill="1" applyBorder="1" applyAlignment="1" applyProtection="1"/>
    <xf numFmtId="0" fontId="61" fillId="10" borderId="0" xfId="0" applyFont="1" applyFill="1" applyBorder="1" applyProtection="1"/>
    <xf numFmtId="0" fontId="2" fillId="19" borderId="0" xfId="0" applyFont="1" applyFill="1" applyProtection="1"/>
    <xf numFmtId="0" fontId="3" fillId="10" borderId="0" xfId="0" applyFont="1" applyFill="1" applyBorder="1" applyProtection="1"/>
    <xf numFmtId="0" fontId="3" fillId="10" borderId="29" xfId="0" applyFont="1" applyFill="1" applyBorder="1" applyProtection="1"/>
    <xf numFmtId="0" fontId="3" fillId="22" borderId="0" xfId="0" applyFont="1" applyFill="1" applyBorder="1" applyProtection="1">
      <protection locked="0"/>
    </xf>
    <xf numFmtId="0" fontId="61" fillId="19" borderId="0" xfId="0" applyFont="1" applyFill="1" applyBorder="1" applyProtection="1"/>
    <xf numFmtId="1" fontId="58" fillId="10" borderId="0" xfId="0" applyNumberFormat="1" applyFont="1" applyFill="1" applyBorder="1" applyAlignment="1" applyProtection="1">
      <alignment horizontal="right"/>
    </xf>
    <xf numFmtId="0" fontId="63" fillId="16" borderId="20" xfId="0" applyFont="1" applyFill="1" applyBorder="1" applyProtection="1"/>
    <xf numFmtId="0" fontId="61" fillId="10" borderId="0" xfId="0" applyFont="1" applyFill="1" applyBorder="1" applyAlignment="1" applyProtection="1">
      <alignment vertical="center"/>
    </xf>
    <xf numFmtId="0" fontId="7" fillId="10" borderId="0" xfId="0" applyFont="1" applyFill="1" applyBorder="1" applyAlignment="1" applyProtection="1">
      <alignment horizontal="right"/>
    </xf>
    <xf numFmtId="180" fontId="7" fillId="10" borderId="0" xfId="0" applyNumberFormat="1" applyFont="1" applyFill="1" applyBorder="1" applyProtection="1"/>
    <xf numFmtId="0" fontId="7" fillId="10" borderId="0" xfId="0" applyFont="1" applyFill="1" applyBorder="1" applyProtection="1"/>
    <xf numFmtId="180" fontId="3" fillId="19" borderId="0" xfId="0" applyNumberFormat="1" applyFont="1" applyFill="1" applyBorder="1" applyAlignment="1" applyProtection="1">
      <alignment horizontal="right" vertical="center"/>
    </xf>
    <xf numFmtId="180" fontId="2" fillId="19" borderId="0" xfId="0" applyNumberFormat="1" applyFont="1" applyFill="1" applyBorder="1" applyAlignment="1" applyProtection="1">
      <alignment horizontal="right"/>
    </xf>
    <xf numFmtId="0" fontId="2" fillId="19" borderId="0" xfId="0" applyFont="1" applyFill="1" applyBorder="1" applyAlignment="1" applyProtection="1">
      <alignment horizontal="left"/>
    </xf>
    <xf numFmtId="1" fontId="3" fillId="19" borderId="0" xfId="0" applyNumberFormat="1" applyFont="1" applyFill="1" applyBorder="1" applyAlignment="1" applyProtection="1">
      <alignment horizontal="right" vertical="center"/>
    </xf>
    <xf numFmtId="1" fontId="2" fillId="19" borderId="0" xfId="0" applyNumberFormat="1" applyFont="1" applyFill="1" applyBorder="1" applyAlignment="1" applyProtection="1">
      <alignment horizontal="right"/>
    </xf>
    <xf numFmtId="1" fontId="3" fillId="19" borderId="0" xfId="0" applyNumberFormat="1" applyFont="1" applyFill="1" applyBorder="1" applyAlignment="1" applyProtection="1">
      <alignment horizontal="right" vertical="center"/>
      <protection locked="0" hidden="1"/>
    </xf>
    <xf numFmtId="0" fontId="3" fillId="10" borderId="0" xfId="0" applyFont="1" applyFill="1" applyBorder="1" applyAlignment="1" applyProtection="1">
      <alignment horizontal="left"/>
    </xf>
    <xf numFmtId="0" fontId="64" fillId="10" borderId="0" xfId="0" applyFont="1" applyFill="1" applyBorder="1" applyProtection="1"/>
    <xf numFmtId="0" fontId="2" fillId="10" borderId="0" xfId="0" applyFont="1" applyFill="1" applyBorder="1" applyAlignment="1" applyProtection="1">
      <alignment horizontal="left"/>
    </xf>
    <xf numFmtId="0" fontId="62" fillId="22" borderId="0" xfId="0" applyNumberFormat="1" applyFont="1" applyFill="1" applyBorder="1" applyAlignment="1" applyProtection="1">
      <alignment horizontal="right"/>
      <protection locked="0" hidden="1"/>
    </xf>
    <xf numFmtId="0" fontId="66" fillId="16" borderId="20" xfId="0" applyFont="1" applyFill="1" applyBorder="1" applyProtection="1"/>
    <xf numFmtId="0" fontId="24" fillId="10" borderId="29" xfId="0" applyFont="1" applyFill="1" applyBorder="1" applyProtection="1"/>
    <xf numFmtId="0" fontId="24" fillId="10" borderId="29" xfId="0" applyFont="1" applyFill="1" applyBorder="1" applyAlignment="1" applyProtection="1"/>
    <xf numFmtId="2" fontId="2" fillId="10" borderId="0" xfId="0" applyNumberFormat="1" applyFont="1" applyFill="1" applyBorder="1" applyProtection="1"/>
    <xf numFmtId="180" fontId="2" fillId="10" borderId="0" xfId="0" applyNumberFormat="1" applyFont="1" applyFill="1" applyBorder="1" applyProtection="1"/>
    <xf numFmtId="1" fontId="2" fillId="10" borderId="0" xfId="0" applyNumberFormat="1" applyFont="1" applyFill="1" applyBorder="1" applyProtection="1"/>
    <xf numFmtId="1" fontId="2" fillId="10" borderId="0" xfId="0" applyNumberFormat="1" applyFont="1" applyFill="1" applyBorder="1" applyAlignment="1" applyProtection="1">
      <alignment horizontal="right"/>
    </xf>
    <xf numFmtId="0" fontId="68" fillId="10" borderId="0" xfId="0" applyFont="1" applyFill="1" applyBorder="1" applyAlignment="1" applyProtection="1">
      <alignment horizontal="right"/>
    </xf>
    <xf numFmtId="1" fontId="68" fillId="22" borderId="0" xfId="0" applyNumberFormat="1" applyFont="1" applyFill="1" applyBorder="1" applyAlignment="1" applyProtection="1">
      <alignment horizontal="right"/>
      <protection locked="0"/>
    </xf>
    <xf numFmtId="0" fontId="68" fillId="22" borderId="0" xfId="0" applyNumberFormat="1" applyFont="1" applyFill="1" applyBorder="1" applyProtection="1">
      <protection locked="0"/>
    </xf>
    <xf numFmtId="180" fontId="68" fillId="22" borderId="0" xfId="0" applyNumberFormat="1" applyFont="1" applyFill="1" applyBorder="1" applyAlignment="1" applyProtection="1">
      <alignment horizontal="right" vertical="center"/>
      <protection locked="0" hidden="1"/>
    </xf>
    <xf numFmtId="1" fontId="68" fillId="22" borderId="0" xfId="0" applyNumberFormat="1" applyFont="1" applyFill="1" applyBorder="1" applyAlignment="1" applyProtection="1">
      <alignment horizontal="right" vertical="center"/>
      <protection locked="0" hidden="1"/>
    </xf>
    <xf numFmtId="0" fontId="2" fillId="10" borderId="2" xfId="0" applyFont="1" applyFill="1" applyBorder="1" applyProtection="1"/>
    <xf numFmtId="0" fontId="2" fillId="10" borderId="2" xfId="0" applyFont="1" applyFill="1" applyBorder="1" applyAlignment="1" applyProtection="1">
      <alignment horizontal="right"/>
    </xf>
    <xf numFmtId="0" fontId="68" fillId="10" borderId="2" xfId="0" applyFont="1" applyFill="1" applyBorder="1" applyAlignment="1" applyProtection="1">
      <alignment horizontal="right"/>
    </xf>
    <xf numFmtId="0" fontId="3" fillId="22" borderId="2" xfId="0" applyNumberFormat="1" applyFont="1" applyFill="1" applyBorder="1" applyProtection="1">
      <protection locked="0"/>
    </xf>
    <xf numFmtId="0" fontId="3" fillId="10" borderId="3" xfId="0" applyFont="1" applyFill="1" applyBorder="1" applyProtection="1"/>
    <xf numFmtId="0" fontId="3" fillId="10" borderId="30" xfId="0" applyFont="1" applyFill="1" applyBorder="1" applyProtection="1"/>
    <xf numFmtId="0" fontId="2" fillId="10" borderId="31" xfId="0" applyFont="1" applyFill="1" applyBorder="1" applyProtection="1"/>
    <xf numFmtId="0" fontId="2" fillId="10" borderId="32" xfId="0" applyFont="1" applyFill="1" applyBorder="1" applyProtection="1"/>
    <xf numFmtId="0" fontId="2" fillId="10" borderId="33" xfId="0" applyFont="1" applyFill="1" applyBorder="1" applyProtection="1"/>
    <xf numFmtId="0" fontId="2" fillId="10" borderId="3" xfId="0" applyFont="1" applyFill="1" applyBorder="1" applyProtection="1"/>
    <xf numFmtId="0" fontId="2" fillId="10" borderId="30" xfId="0" applyFont="1" applyFill="1" applyBorder="1" applyProtection="1"/>
    <xf numFmtId="1" fontId="2" fillId="10" borderId="32" xfId="0" applyNumberFormat="1" applyFont="1" applyFill="1" applyBorder="1" applyProtection="1"/>
    <xf numFmtId="180" fontId="2" fillId="10" borderId="32" xfId="0" applyNumberFormat="1" applyFont="1" applyFill="1" applyBorder="1" applyProtection="1"/>
    <xf numFmtId="0" fontId="3" fillId="10" borderId="2" xfId="0" applyFont="1" applyFill="1" applyBorder="1" applyAlignment="1" applyProtection="1"/>
    <xf numFmtId="0" fontId="3" fillId="10" borderId="2" xfId="0" applyFont="1" applyFill="1" applyBorder="1" applyAlignment="1" applyProtection="1">
      <alignment horizontal="right"/>
    </xf>
    <xf numFmtId="1" fontId="3" fillId="22" borderId="2" xfId="0" applyNumberFormat="1" applyFont="1" applyFill="1" applyBorder="1" applyProtection="1">
      <protection locked="0"/>
    </xf>
    <xf numFmtId="0" fontId="3" fillId="10" borderId="2" xfId="0" applyFont="1" applyFill="1" applyBorder="1" applyProtection="1"/>
    <xf numFmtId="0" fontId="3" fillId="10" borderId="3" xfId="0" applyFont="1" applyFill="1" applyBorder="1" applyAlignment="1" applyProtection="1"/>
    <xf numFmtId="0" fontId="2" fillId="10" borderId="33" xfId="0" applyFont="1" applyFill="1" applyBorder="1" applyAlignment="1" applyProtection="1"/>
    <xf numFmtId="0" fontId="68" fillId="19" borderId="2" xfId="0" applyFont="1" applyFill="1" applyBorder="1" applyAlignment="1" applyProtection="1">
      <alignment horizontal="right"/>
    </xf>
    <xf numFmtId="0" fontId="3" fillId="22" borderId="2" xfId="0" applyFont="1" applyFill="1" applyBorder="1" applyProtection="1">
      <protection locked="0"/>
    </xf>
    <xf numFmtId="0" fontId="2" fillId="10" borderId="32" xfId="0" applyNumberFormat="1" applyFont="1" applyFill="1" applyBorder="1" applyAlignment="1" applyProtection="1">
      <alignment horizontal="right"/>
    </xf>
    <xf numFmtId="0" fontId="3" fillId="10" borderId="30" xfId="0" applyFont="1" applyFill="1" applyBorder="1" applyAlignment="1" applyProtection="1">
      <alignment horizontal="left"/>
    </xf>
    <xf numFmtId="180" fontId="2" fillId="10" borderId="2" xfId="0" applyNumberFormat="1" applyFont="1" applyFill="1" applyBorder="1" applyProtection="1"/>
    <xf numFmtId="0" fontId="2" fillId="19" borderId="42" xfId="0" applyFont="1" applyFill="1" applyBorder="1" applyAlignment="1" applyProtection="1">
      <alignment horizontal="left"/>
    </xf>
    <xf numFmtId="0" fontId="62" fillId="22" borderId="42" xfId="0" applyNumberFormat="1" applyFont="1" applyFill="1" applyBorder="1" applyAlignment="1" applyProtection="1">
      <alignment horizontal="right"/>
      <protection locked="0" hidden="1"/>
    </xf>
    <xf numFmtId="0" fontId="62" fillId="10" borderId="43" xfId="0" applyFont="1" applyFill="1" applyBorder="1" applyAlignment="1" applyProtection="1">
      <alignment horizontal="left"/>
    </xf>
    <xf numFmtId="0" fontId="62" fillId="10" borderId="30" xfId="0" applyFont="1" applyFill="1" applyBorder="1" applyAlignment="1" applyProtection="1">
      <alignment horizontal="left"/>
    </xf>
    <xf numFmtId="180" fontId="3" fillId="10" borderId="44" xfId="0" applyNumberFormat="1" applyFont="1" applyFill="1" applyBorder="1" applyAlignment="1" applyProtection="1">
      <alignment horizontal="right"/>
    </xf>
    <xf numFmtId="180" fontId="3" fillId="10" borderId="29" xfId="0" applyNumberFormat="1" applyFont="1" applyFill="1" applyBorder="1" applyAlignment="1" applyProtection="1">
      <alignment horizontal="right"/>
    </xf>
    <xf numFmtId="0" fontId="3" fillId="10" borderId="44" xfId="0" applyFont="1" applyFill="1" applyBorder="1" applyAlignment="1" applyProtection="1">
      <alignment horizontal="center"/>
    </xf>
    <xf numFmtId="0" fontId="3" fillId="10" borderId="29" xfId="0" applyFont="1" applyFill="1" applyBorder="1" applyAlignment="1" applyProtection="1">
      <alignment horizontal="center"/>
    </xf>
    <xf numFmtId="0" fontId="3" fillId="10" borderId="44" xfId="0" applyFont="1" applyFill="1" applyBorder="1" applyProtection="1"/>
    <xf numFmtId="0" fontId="3" fillId="10" borderId="42" xfId="0" applyFont="1" applyFill="1" applyBorder="1" applyProtection="1"/>
    <xf numFmtId="0" fontId="2" fillId="10" borderId="42" xfId="0" applyFont="1" applyFill="1" applyBorder="1" applyProtection="1"/>
    <xf numFmtId="0" fontId="2" fillId="10" borderId="43" xfId="0" applyFont="1" applyFill="1" applyBorder="1" applyProtection="1"/>
    <xf numFmtId="0" fontId="2" fillId="10" borderId="42" xfId="0" applyFont="1" applyFill="1" applyBorder="1" applyAlignment="1" applyProtection="1">
      <alignment vertical="center"/>
    </xf>
    <xf numFmtId="0" fontId="2" fillId="10" borderId="46" xfId="0" applyFont="1" applyFill="1" applyBorder="1" applyProtection="1"/>
    <xf numFmtId="0" fontId="3" fillId="10" borderId="46" xfId="0" applyFont="1" applyFill="1" applyBorder="1" applyAlignment="1" applyProtection="1">
      <alignment horizontal="right"/>
    </xf>
    <xf numFmtId="0" fontId="2" fillId="10" borderId="47" xfId="0" applyFont="1" applyFill="1" applyBorder="1" applyProtection="1"/>
    <xf numFmtId="0" fontId="2" fillId="19" borderId="46" xfId="0" applyFont="1" applyFill="1" applyBorder="1" applyAlignment="1" applyProtection="1">
      <alignment horizontal="left"/>
    </xf>
    <xf numFmtId="0" fontId="62" fillId="22" borderId="46" xfId="0" applyNumberFormat="1" applyFont="1" applyFill="1" applyBorder="1" applyAlignment="1" applyProtection="1">
      <alignment horizontal="right"/>
      <protection locked="0" hidden="1"/>
    </xf>
    <xf numFmtId="0" fontId="62" fillId="10" borderId="47" xfId="0" applyFont="1" applyFill="1" applyBorder="1" applyAlignment="1" applyProtection="1">
      <alignment horizontal="left"/>
    </xf>
    <xf numFmtId="0" fontId="65" fillId="10" borderId="45" xfId="0" applyFont="1" applyFill="1" applyBorder="1" applyAlignment="1" applyProtection="1">
      <alignment horizontal="left"/>
    </xf>
    <xf numFmtId="0" fontId="65" fillId="10" borderId="47" xfId="0" applyFont="1" applyFill="1" applyBorder="1" applyProtection="1"/>
    <xf numFmtId="0" fontId="3" fillId="10" borderId="43" xfId="0" applyFont="1" applyFill="1" applyBorder="1" applyAlignment="1" applyProtection="1">
      <alignment horizontal="left"/>
    </xf>
    <xf numFmtId="180" fontId="2" fillId="10" borderId="42" xfId="0" applyNumberFormat="1" applyFont="1" applyFill="1" applyBorder="1" applyAlignment="1" applyProtection="1">
      <alignment horizontal="left" vertical="center"/>
    </xf>
    <xf numFmtId="1" fontId="2" fillId="10" borderId="0" xfId="0" applyNumberFormat="1" applyFont="1" applyFill="1" applyBorder="1" applyAlignment="1" applyProtection="1">
      <alignment horizontal="left" vertical="center"/>
    </xf>
    <xf numFmtId="1" fontId="2" fillId="10" borderId="46" xfId="0" applyNumberFormat="1" applyFont="1" applyFill="1" applyBorder="1" applyAlignment="1" applyProtection="1">
      <alignment horizontal="left" vertical="center"/>
    </xf>
    <xf numFmtId="1" fontId="3" fillId="19" borderId="46" xfId="0" applyNumberFormat="1" applyFont="1" applyFill="1" applyBorder="1" applyAlignment="1" applyProtection="1">
      <alignment horizontal="right" vertical="center"/>
    </xf>
    <xf numFmtId="1" fontId="68"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pplyProtection="1">
      <alignment horizontal="left"/>
    </xf>
    <xf numFmtId="0" fontId="24" fillId="10" borderId="29" xfId="0" applyFont="1" applyFill="1" applyBorder="1" applyAlignment="1" applyProtection="1">
      <alignment vertical="center"/>
    </xf>
    <xf numFmtId="0" fontId="2" fillId="10" borderId="44" xfId="0" applyFont="1" applyFill="1" applyBorder="1" applyProtection="1"/>
    <xf numFmtId="0" fontId="3" fillId="10" borderId="44" xfId="0" applyFont="1" applyFill="1" applyBorder="1" applyAlignment="1" applyProtection="1"/>
    <xf numFmtId="0" fontId="2" fillId="19" borderId="29" xfId="0" applyFont="1" applyFill="1" applyBorder="1" applyProtection="1"/>
    <xf numFmtId="1" fontId="3" fillId="19" borderId="29" xfId="0" applyNumberFormat="1" applyFont="1" applyFill="1" applyBorder="1" applyAlignment="1" applyProtection="1">
      <alignment horizontal="right" vertical="center"/>
    </xf>
    <xf numFmtId="0" fontId="3" fillId="10" borderId="31" xfId="0" applyFont="1" applyFill="1" applyBorder="1" applyAlignment="1" applyProtection="1">
      <alignment horizontal="center"/>
    </xf>
    <xf numFmtId="0" fontId="63" fillId="16" borderId="48" xfId="0" applyFont="1" applyFill="1" applyBorder="1" applyProtection="1"/>
    <xf numFmtId="0" fontId="18" fillId="3" borderId="29" xfId="0" applyFont="1" applyFill="1" applyBorder="1" applyProtection="1"/>
    <xf numFmtId="0" fontId="18" fillId="19" borderId="29" xfId="0" applyFont="1" applyFill="1" applyBorder="1" applyProtection="1"/>
    <xf numFmtId="0" fontId="18" fillId="19" borderId="42" xfId="0" applyFont="1" applyFill="1" applyBorder="1" applyProtection="1"/>
    <xf numFmtId="0" fontId="18" fillId="19" borderId="31" xfId="0" applyFont="1" applyFill="1" applyBorder="1" applyProtection="1"/>
    <xf numFmtId="0" fontId="18" fillId="19" borderId="46" xfId="0" applyFont="1" applyFill="1" applyBorder="1" applyProtection="1"/>
    <xf numFmtId="180" fontId="3" fillId="19" borderId="42" xfId="0" applyNumberFormat="1" applyFont="1" applyFill="1" applyBorder="1" applyAlignment="1" applyProtection="1">
      <alignment horizontal="right" vertical="center"/>
    </xf>
    <xf numFmtId="180" fontId="68" fillId="22" borderId="42" xfId="0" applyNumberFormat="1" applyFont="1" applyFill="1" applyBorder="1" applyAlignment="1" applyProtection="1">
      <alignment horizontal="right" vertical="center"/>
      <protection locked="0" hidden="1"/>
    </xf>
    <xf numFmtId="0" fontId="2" fillId="19" borderId="0" xfId="0" applyFont="1" applyFill="1" applyBorder="1" applyAlignment="1" applyProtection="1">
      <alignment horizontal="right"/>
      <protection locked="0"/>
    </xf>
    <xf numFmtId="0" fontId="3" fillId="0" borderId="43" xfId="0" applyFont="1" applyFill="1" applyBorder="1" applyAlignment="1" applyProtection="1">
      <alignment horizontal="left"/>
    </xf>
    <xf numFmtId="184" fontId="18" fillId="21" borderId="0" xfId="0" applyNumberFormat="1" applyFont="1" applyFill="1" applyBorder="1" applyAlignment="1" applyProtection="1">
      <alignment horizontal="center"/>
    </xf>
    <xf numFmtId="0" fontId="18" fillId="21" borderId="0" xfId="0" applyFont="1" applyFill="1" applyProtection="1"/>
    <xf numFmtId="184" fontId="27" fillId="21" borderId="0" xfId="0" applyNumberFormat="1" applyFont="1" applyFill="1" applyBorder="1" applyAlignment="1" applyProtection="1">
      <alignment horizontal="center"/>
    </xf>
    <xf numFmtId="0" fontId="27" fillId="21" borderId="0" xfId="0" applyFont="1" applyFill="1" applyProtection="1"/>
    <xf numFmtId="0" fontId="2" fillId="19" borderId="0" xfId="0" applyFont="1" applyFill="1" applyBorder="1" applyProtection="1">
      <protection locked="0"/>
    </xf>
    <xf numFmtId="0" fontId="2" fillId="10" borderId="45" xfId="0" applyFont="1" applyFill="1" applyBorder="1" applyProtection="1"/>
    <xf numFmtId="0" fontId="3" fillId="10" borderId="46" xfId="0" applyFont="1" applyFill="1" applyBorder="1" applyProtection="1"/>
    <xf numFmtId="0" fontId="2" fillId="10" borderId="49" xfId="0" applyFont="1" applyFill="1" applyBorder="1" applyProtection="1"/>
    <xf numFmtId="0" fontId="70" fillId="10" borderId="0" xfId="0" applyFont="1" applyFill="1" applyBorder="1" applyAlignment="1" applyProtection="1">
      <alignment horizontal="right"/>
    </xf>
    <xf numFmtId="0" fontId="72" fillId="10" borderId="0" xfId="0" applyFont="1" applyFill="1" applyBorder="1" applyProtection="1"/>
    <xf numFmtId="0" fontId="72" fillId="10" borderId="30" xfId="0" applyFont="1" applyFill="1" applyBorder="1" applyProtection="1"/>
    <xf numFmtId="184" fontId="72" fillId="21" borderId="0" xfId="0" applyNumberFormat="1" applyFont="1" applyFill="1" applyBorder="1" applyAlignment="1" applyProtection="1">
      <alignment horizontal="center"/>
    </xf>
    <xf numFmtId="0" fontId="72" fillId="21" borderId="0" xfId="0" applyFont="1" applyFill="1" applyProtection="1"/>
    <xf numFmtId="184" fontId="72" fillId="3" borderId="0" xfId="0" applyNumberFormat="1" applyFont="1" applyFill="1" applyBorder="1" applyAlignment="1" applyProtection="1">
      <alignment horizontal="center"/>
    </xf>
    <xf numFmtId="0" fontId="72" fillId="3" borderId="0" xfId="0" applyFont="1" applyFill="1" applyProtection="1"/>
    <xf numFmtId="0" fontId="70" fillId="10" borderId="42" xfId="0" applyFont="1" applyFill="1" applyBorder="1" applyAlignment="1" applyProtection="1">
      <alignment horizontal="right"/>
    </xf>
    <xf numFmtId="0" fontId="71" fillId="10" borderId="29" xfId="0" applyFont="1" applyFill="1" applyBorder="1" applyAlignment="1" applyProtection="1">
      <alignment vertical="center"/>
    </xf>
    <xf numFmtId="0" fontId="70" fillId="10" borderId="0" xfId="0" applyFont="1" applyFill="1" applyBorder="1" applyAlignment="1" applyProtection="1">
      <alignment horizontal="right" vertical="center"/>
    </xf>
    <xf numFmtId="180" fontId="70" fillId="10" borderId="46" xfId="0" applyNumberFormat="1" applyFont="1" applyFill="1" applyBorder="1" applyAlignment="1" applyProtection="1">
      <alignment horizontal="center" vertical="center"/>
    </xf>
    <xf numFmtId="180" fontId="70" fillId="10" borderId="46" xfId="0" applyNumberFormat="1" applyFont="1" applyFill="1" applyBorder="1" applyAlignment="1" applyProtection="1">
      <alignment vertical="center"/>
    </xf>
    <xf numFmtId="0" fontId="70" fillId="0" borderId="0" xfId="0" applyFont="1" applyFill="1" applyBorder="1" applyAlignment="1" applyProtection="1">
      <alignment horizontal="left" vertical="center"/>
    </xf>
    <xf numFmtId="0" fontId="2" fillId="0" borderId="1" xfId="0" applyFont="1" applyBorder="1"/>
    <xf numFmtId="0" fontId="2" fillId="0" borderId="29" xfId="0" applyFont="1" applyBorder="1"/>
    <xf numFmtId="0" fontId="2" fillId="0" borderId="0" xfId="0" applyFont="1" applyFill="1" applyBorder="1"/>
    <xf numFmtId="2" fontId="0" fillId="0" borderId="0" xfId="0" applyNumberFormat="1" applyBorder="1" applyAlignment="1">
      <alignment horizontal="right"/>
    </xf>
    <xf numFmtId="0" fontId="2" fillId="10" borderId="0" xfId="0" applyNumberFormat="1" applyFont="1" applyFill="1" applyBorder="1" applyAlignment="1" applyProtection="1">
      <alignment horizontal="right"/>
    </xf>
    <xf numFmtId="0" fontId="3" fillId="22" borderId="0" xfId="0" applyNumberFormat="1" applyFont="1" applyFill="1" applyBorder="1" applyAlignment="1" applyProtection="1">
      <alignment horizontal="right"/>
      <protection locked="0"/>
    </xf>
    <xf numFmtId="0" fontId="75" fillId="0" borderId="0" xfId="0" applyFont="1" applyBorder="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NumberFormat="1"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2" fillId="19" borderId="11" xfId="2" applyNumberFormat="1" applyFill="1" applyBorder="1" applyAlignment="1">
      <alignment horizontal="center" vertical="center"/>
    </xf>
    <xf numFmtId="0" fontId="64"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applyProtection="1"/>
    <xf numFmtId="0" fontId="3" fillId="22" borderId="46" xfId="0" applyFont="1" applyFill="1" applyBorder="1" applyProtection="1">
      <protection locked="0"/>
    </xf>
    <xf numFmtId="0" fontId="3" fillId="22" borderId="0" xfId="0" applyFont="1" applyFill="1" applyBorder="1" applyAlignment="1" applyProtection="1">
      <alignment horizontal="right"/>
      <protection locked="0"/>
    </xf>
    <xf numFmtId="0" fontId="3" fillId="22" borderId="46" xfId="0" applyFont="1" applyFill="1" applyBorder="1" applyAlignment="1" applyProtection="1">
      <alignment horizontal="right"/>
      <protection locked="0"/>
    </xf>
    <xf numFmtId="0" fontId="77" fillId="19" borderId="0" xfId="0" applyFont="1" applyFill="1"/>
    <xf numFmtId="0" fontId="2" fillId="19" borderId="0" xfId="2" applyFont="1" applyFill="1"/>
    <xf numFmtId="0" fontId="3" fillId="10" borderId="0" xfId="2" applyFont="1" applyFill="1"/>
    <xf numFmtId="0" fontId="64" fillId="10" borderId="42" xfId="0" applyFont="1" applyFill="1" applyBorder="1" applyAlignment="1" applyProtection="1">
      <protection locked="0"/>
    </xf>
    <xf numFmtId="1" fontId="0" fillId="4" borderId="0" xfId="0" applyNumberFormat="1" applyFill="1" applyBorder="1"/>
    <xf numFmtId="0" fontId="64" fillId="10" borderId="29" xfId="0" applyFont="1" applyFill="1" applyBorder="1" applyAlignment="1" applyProtection="1">
      <alignment vertical="center"/>
    </xf>
    <xf numFmtId="0" fontId="0" fillId="14" borderId="2" xfId="0" applyNumberFormat="1" applyFill="1" applyBorder="1"/>
    <xf numFmtId="0" fontId="3" fillId="5" borderId="55" xfId="0" applyFont="1" applyFill="1" applyBorder="1" applyAlignment="1"/>
    <xf numFmtId="0" fontId="3" fillId="5" borderId="0" xfId="0" applyFont="1" applyFill="1" applyBorder="1" applyAlignment="1"/>
    <xf numFmtId="2" fontId="7" fillId="13" borderId="0" xfId="0" applyNumberFormat="1" applyFont="1" applyFill="1" applyBorder="1"/>
    <xf numFmtId="180" fontId="7" fillId="13" borderId="0" xfId="0" applyNumberFormat="1" applyFont="1" applyFill="1" applyBorder="1"/>
    <xf numFmtId="11" fontId="7" fillId="13" borderId="0" xfId="0" applyNumberFormat="1" applyFont="1" applyFill="1" applyBorder="1"/>
    <xf numFmtId="0" fontId="22" fillId="25" borderId="48" xfId="0" applyFont="1" applyFill="1" applyBorder="1" applyProtection="1"/>
    <xf numFmtId="0" fontId="22" fillId="25" borderId="49" xfId="0" applyFont="1" applyFill="1" applyBorder="1" applyProtection="1"/>
    <xf numFmtId="0" fontId="18" fillId="25" borderId="49" xfId="0" applyFont="1" applyFill="1" applyBorder="1" applyProtection="1"/>
    <xf numFmtId="184" fontId="18" fillId="25" borderId="46" xfId="0" applyNumberFormat="1" applyFont="1" applyFill="1" applyBorder="1" applyAlignment="1" applyProtection="1">
      <alignment horizontal="center"/>
    </xf>
    <xf numFmtId="0" fontId="18" fillId="25" borderId="0" xfId="0" applyFont="1" applyFill="1" applyBorder="1" applyProtection="1"/>
    <xf numFmtId="184" fontId="18" fillId="25" borderId="0" xfId="0" applyNumberFormat="1" applyFont="1" applyFill="1" applyBorder="1" applyAlignment="1" applyProtection="1">
      <alignment horizontal="center"/>
    </xf>
    <xf numFmtId="184" fontId="72" fillId="25" borderId="0" xfId="0" applyNumberFormat="1" applyFont="1" applyFill="1" applyBorder="1" applyAlignment="1" applyProtection="1">
      <alignment horizontal="center"/>
    </xf>
    <xf numFmtId="184" fontId="27" fillId="25" borderId="0" xfId="0" applyNumberFormat="1" applyFont="1" applyFill="1" applyBorder="1" applyAlignment="1" applyProtection="1">
      <alignment horizontal="center"/>
    </xf>
    <xf numFmtId="0" fontId="28" fillId="25" borderId="0" xfId="0" applyFont="1" applyFill="1" applyBorder="1" applyAlignment="1" applyProtection="1">
      <alignment horizontal="left"/>
    </xf>
    <xf numFmtId="0" fontId="26" fillId="25" borderId="0" xfId="0" applyFont="1" applyFill="1" applyBorder="1" applyAlignment="1" applyProtection="1">
      <alignment horizontal="left" vertical="center"/>
    </xf>
    <xf numFmtId="0" fontId="74" fillId="25" borderId="0" xfId="0" applyFont="1" applyFill="1" applyBorder="1" applyAlignment="1" applyProtection="1">
      <alignment horizontal="left" vertical="center"/>
    </xf>
    <xf numFmtId="0" fontId="22" fillId="25" borderId="0" xfId="0" applyFont="1" applyFill="1" applyBorder="1" applyAlignment="1" applyProtection="1">
      <alignment vertical="center"/>
    </xf>
    <xf numFmtId="0" fontId="26" fillId="25" borderId="0" xfId="0" quotePrefix="1" applyFont="1" applyFill="1" applyBorder="1" applyAlignment="1" applyProtection="1">
      <alignment vertical="center"/>
    </xf>
    <xf numFmtId="0" fontId="30" fillId="25" borderId="0" xfId="0" applyFont="1" applyFill="1" applyBorder="1" applyAlignment="1" applyProtection="1">
      <alignment vertical="center"/>
    </xf>
    <xf numFmtId="0" fontId="30" fillId="25" borderId="0" xfId="0" applyFont="1" applyFill="1" applyBorder="1" applyProtection="1"/>
    <xf numFmtId="0" fontId="32" fillId="25" borderId="31" xfId="0" applyFont="1" applyFill="1" applyBorder="1" applyProtection="1"/>
    <xf numFmtId="0" fontId="32" fillId="25" borderId="32" xfId="0" applyFont="1" applyFill="1" applyBorder="1" applyProtection="1"/>
    <xf numFmtId="0" fontId="22" fillId="25" borderId="32" xfId="0" applyFont="1" applyFill="1" applyBorder="1" applyProtection="1"/>
    <xf numFmtId="0" fontId="26" fillId="25" borderId="56" xfId="0" applyFont="1" applyFill="1" applyBorder="1" applyAlignment="1" applyProtection="1">
      <alignment horizontal="left" vertical="center"/>
    </xf>
    <xf numFmtId="0" fontId="80" fillId="25" borderId="0" xfId="1" applyFont="1" applyFill="1" applyBorder="1" applyAlignment="1" applyProtection="1">
      <alignment horizontal="left" vertical="center"/>
    </xf>
    <xf numFmtId="0" fontId="2" fillId="10" borderId="0" xfId="0" applyFont="1" applyFill="1" applyBorder="1" applyAlignment="1" applyProtection="1">
      <alignment horizontal="right" vertical="center"/>
    </xf>
    <xf numFmtId="0" fontId="2" fillId="10" borderId="56" xfId="0" applyFont="1" applyFill="1" applyBorder="1" applyProtection="1"/>
    <xf numFmtId="0" fontId="0" fillId="0" borderId="0" xfId="0" applyAlignment="1">
      <alignment horizontal="left"/>
    </xf>
    <xf numFmtId="0" fontId="64" fillId="0" borderId="0" xfId="0" applyFont="1" applyBorder="1"/>
    <xf numFmtId="0" fontId="64" fillId="0" borderId="0" xfId="0" applyFont="1" applyAlignment="1">
      <alignment horizontal="left"/>
    </xf>
    <xf numFmtId="0" fontId="2" fillId="0" borderId="0" xfId="2"/>
    <xf numFmtId="0" fontId="2" fillId="19" borderId="0" xfId="2" applyFill="1" applyBorder="1" applyAlignment="1"/>
    <xf numFmtId="0" fontId="2" fillId="0" borderId="0" xfId="2" applyBorder="1"/>
    <xf numFmtId="179" fontId="0" fillId="4" borderId="0" xfId="0" applyNumberFormat="1" applyFill="1" applyBorder="1"/>
    <xf numFmtId="2" fontId="0" fillId="13" borderId="0" xfId="0" applyNumberFormat="1" applyFill="1" applyBorder="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applyBorder="1"/>
    <xf numFmtId="179" fontId="7" fillId="13" borderId="0" xfId="0" applyNumberFormat="1" applyFont="1" applyFill="1" applyBorder="1"/>
    <xf numFmtId="0" fontId="7" fillId="0" borderId="56" xfId="0" applyFont="1" applyBorder="1"/>
    <xf numFmtId="0" fontId="3" fillId="13" borderId="0" xfId="0" applyNumberFormat="1" applyFont="1" applyFill="1" applyBorder="1" applyAlignment="1">
      <alignment horizontal="right"/>
    </xf>
    <xf numFmtId="180" fontId="0" fillId="4" borderId="0" xfId="0" applyNumberFormat="1" applyFill="1" applyBorder="1"/>
    <xf numFmtId="179" fontId="7" fillId="19" borderId="0" xfId="0" applyNumberFormat="1" applyFont="1" applyFill="1" applyBorder="1"/>
    <xf numFmtId="0" fontId="83" fillId="19" borderId="42" xfId="0" applyFont="1" applyFill="1" applyBorder="1" applyAlignment="1" applyProtection="1">
      <alignment horizontal="left" vertical="center"/>
    </xf>
    <xf numFmtId="0" fontId="2" fillId="19" borderId="42" xfId="0" applyFont="1" applyFill="1" applyBorder="1" applyProtection="1"/>
    <xf numFmtId="0" fontId="67" fillId="10" borderId="46" xfId="0" applyFont="1" applyFill="1" applyBorder="1" applyAlignment="1" applyProtection="1">
      <alignment horizontal="right"/>
    </xf>
    <xf numFmtId="0" fontId="2" fillId="10" borderId="46" xfId="0" applyNumberFormat="1" applyFont="1" applyFill="1" applyBorder="1" applyAlignment="1" applyProtection="1">
      <alignment horizontal="right"/>
    </xf>
    <xf numFmtId="180" fontId="0" fillId="19" borderId="0" xfId="0" applyNumberFormat="1" applyFill="1" applyBorder="1"/>
    <xf numFmtId="0" fontId="68" fillId="10" borderId="42" xfId="0" applyFont="1" applyFill="1" applyBorder="1" applyAlignment="1" applyProtection="1">
      <alignment horizontal="right"/>
    </xf>
    <xf numFmtId="0" fontId="3" fillId="10" borderId="43" xfId="0" applyFont="1" applyFill="1" applyBorder="1" applyProtection="1"/>
    <xf numFmtId="0" fontId="3" fillId="22" borderId="42" xfId="0" applyFont="1" applyFill="1" applyBorder="1" applyProtection="1">
      <protection locked="0"/>
    </xf>
    <xf numFmtId="1" fontId="67"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applyFill="1" applyBorder="1" applyAlignment="1"/>
    <xf numFmtId="180" fontId="16" fillId="0" borderId="0" xfId="0" applyNumberFormat="1" applyFont="1" applyFill="1" applyBorder="1"/>
    <xf numFmtId="177" fontId="0" fillId="0" borderId="0" xfId="0" applyNumberFormat="1" applyFill="1" applyBorder="1"/>
    <xf numFmtId="177" fontId="16" fillId="0" borderId="0" xfId="0" applyNumberFormat="1" applyFont="1" applyFill="1" applyBorder="1"/>
    <xf numFmtId="0" fontId="2" fillId="4" borderId="43" xfId="0" applyFont="1" applyFill="1" applyBorder="1"/>
    <xf numFmtId="0" fontId="75" fillId="0" borderId="11" xfId="0" applyFont="1" applyBorder="1"/>
    <xf numFmtId="0" fontId="2" fillId="0" borderId="11" xfId="0" applyFont="1" applyBorder="1"/>
    <xf numFmtId="0" fontId="2" fillId="0" borderId="11" xfId="0" applyFont="1" applyFill="1" applyBorder="1"/>
    <xf numFmtId="0" fontId="2" fillId="0" borderId="13" xfId="0" applyFont="1" applyFill="1" applyBorder="1"/>
    <xf numFmtId="0" fontId="2" fillId="0" borderId="15" xfId="0" applyFont="1" applyBorder="1"/>
    <xf numFmtId="0" fontId="2" fillId="0" borderId="15" xfId="0" applyFont="1" applyFill="1" applyBorder="1"/>
    <xf numFmtId="0" fontId="2" fillId="0" borderId="16" xfId="0" applyFont="1" applyBorder="1"/>
    <xf numFmtId="1" fontId="3" fillId="13" borderId="0" xfId="0" applyNumberFormat="1" applyFont="1" applyFill="1" applyBorder="1"/>
    <xf numFmtId="2" fontId="3" fillId="13" borderId="0" xfId="0" applyNumberFormat="1" applyFont="1" applyFill="1" applyBorder="1"/>
    <xf numFmtId="1" fontId="3" fillId="10" borderId="29" xfId="0" applyNumberFormat="1" applyFont="1" applyFill="1" applyBorder="1" applyAlignment="1" applyProtection="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7" fillId="0" borderId="0" xfId="0" applyFont="1" applyAlignment="1">
      <alignment horizontal="right"/>
    </xf>
    <xf numFmtId="0" fontId="64" fillId="0" borderId="0" xfId="0" applyFont="1"/>
    <xf numFmtId="0" fontId="2" fillId="0" borderId="0" xfId="0" quotePrefix="1" applyFont="1"/>
    <xf numFmtId="0" fontId="2" fillId="0" borderId="0" xfId="0" applyFont="1" applyAlignment="1">
      <alignment horizontal="left"/>
    </xf>
    <xf numFmtId="49" fontId="85" fillId="21" borderId="57" xfId="2" applyNumberFormat="1" applyFont="1" applyFill="1" applyBorder="1" applyAlignment="1">
      <alignment horizontal="center" vertical="center"/>
    </xf>
    <xf numFmtId="0" fontId="85" fillId="21" borderId="51" xfId="2" applyFont="1" applyFill="1" applyBorder="1" applyAlignment="1">
      <alignment horizontal="center" vertical="center"/>
    </xf>
    <xf numFmtId="0" fontId="2" fillId="10" borderId="0" xfId="2" applyNumberFormat="1" applyFill="1"/>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6" fillId="3" borderId="50" xfId="2" applyFont="1" applyFill="1" applyBorder="1" applyAlignment="1">
      <alignment horizontal="center" vertical="center"/>
    </xf>
    <xf numFmtId="0" fontId="76" fillId="3" borderId="51" xfId="2" applyFont="1" applyFill="1" applyBorder="1" applyAlignment="1">
      <alignment horizontal="center" vertical="center"/>
    </xf>
    <xf numFmtId="180" fontId="89" fillId="0" borderId="0" xfId="2" applyNumberFormat="1" applyFont="1" applyFill="1" applyAlignment="1">
      <alignment horizontal="right" vertical="center"/>
    </xf>
    <xf numFmtId="0" fontId="89" fillId="10" borderId="0" xfId="2" applyFont="1" applyFill="1" applyAlignment="1">
      <alignment horizontal="left"/>
    </xf>
    <xf numFmtId="178" fontId="89"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0" fontId="7" fillId="0" borderId="0" xfId="0" applyFont="1" applyFill="1" applyBorder="1"/>
    <xf numFmtId="179" fontId="2" fillId="0" borderId="0" xfId="0" applyNumberFormat="1" applyFont="1" applyFill="1" applyBorder="1"/>
    <xf numFmtId="0" fontId="8" fillId="0" borderId="32" xfId="0" applyFont="1" applyFill="1" applyBorder="1"/>
    <xf numFmtId="180" fontId="0" fillId="0" borderId="0" xfId="0" applyNumberFormat="1" applyFill="1" applyBorder="1"/>
    <xf numFmtId="1" fontId="0" fillId="13" borderId="0" xfId="0" applyNumberFormat="1" applyFill="1" applyBorder="1"/>
    <xf numFmtId="1" fontId="8" fillId="13" borderId="0" xfId="0" applyNumberFormat="1" applyFont="1" applyFill="1" applyBorder="1"/>
    <xf numFmtId="0" fontId="86"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6" fillId="10" borderId="0" xfId="2" applyFont="1" applyFill="1" applyAlignment="1" applyProtection="1">
      <alignment vertical="center"/>
      <protection locked="0" hidden="1"/>
    </xf>
    <xf numFmtId="180" fontId="2" fillId="10" borderId="42" xfId="0" applyNumberFormat="1" applyFont="1" applyFill="1" applyBorder="1" applyProtection="1"/>
    <xf numFmtId="0" fontId="3" fillId="0" borderId="56" xfId="0" applyFont="1" applyBorder="1"/>
    <xf numFmtId="0" fontId="0" fillId="0" borderId="0" xfId="0" applyNumberFormat="1" applyAlignment="1">
      <alignment horizontal="right"/>
    </xf>
    <xf numFmtId="179" fontId="0" fillId="13" borderId="0" xfId="0" applyNumberFormat="1" applyFill="1" applyBorder="1"/>
    <xf numFmtId="1" fontId="0" fillId="0" borderId="0" xfId="0" applyNumberFormat="1" applyBorder="1" applyAlignment="1">
      <alignment horizontal="right"/>
    </xf>
    <xf numFmtId="11" fontId="3" fillId="13" borderId="0" xfId="0" applyNumberFormat="1" applyFont="1" applyFill="1" applyBorder="1" applyAlignment="1">
      <alignment horizontal="right"/>
    </xf>
    <xf numFmtId="0" fontId="86" fillId="10" borderId="0" xfId="2" applyFont="1" applyFill="1"/>
    <xf numFmtId="0" fontId="86" fillId="10" borderId="0" xfId="2" applyFont="1" applyFill="1" applyProtection="1">
      <protection locked="0" hidden="1"/>
    </xf>
    <xf numFmtId="0" fontId="2" fillId="0" borderId="0" xfId="2" applyFont="1" applyAlignment="1">
      <alignment horizontal="right"/>
    </xf>
    <xf numFmtId="0" fontId="3" fillId="0" borderId="0" xfId="2" applyFont="1"/>
    <xf numFmtId="0" fontId="2" fillId="0" borderId="0" xfId="2" applyAlignment="1">
      <alignment horizontal="left"/>
    </xf>
    <xf numFmtId="0" fontId="87" fillId="0" borderId="0" xfId="2" applyFont="1" applyAlignment="1">
      <alignment horizontal="right"/>
    </xf>
    <xf numFmtId="0" fontId="64" fillId="0" borderId="0" xfId="2" applyFont="1"/>
    <xf numFmtId="0" fontId="91" fillId="10" borderId="0" xfId="2" applyFont="1" applyFill="1" applyProtection="1">
      <protection locked="0" hidden="1"/>
    </xf>
    <xf numFmtId="0" fontId="2" fillId="0" borderId="0" xfId="0" applyNumberFormat="1" applyFont="1" applyBorder="1" applyAlignment="1">
      <alignment horizontal="right"/>
    </xf>
    <xf numFmtId="0" fontId="92"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3" fillId="0" borderId="29" xfId="0" applyFont="1" applyBorder="1"/>
    <xf numFmtId="0" fontId="7" fillId="4" borderId="42" xfId="0" applyFont="1" applyFill="1" applyBorder="1" applyAlignment="1"/>
    <xf numFmtId="0" fontId="94" fillId="25" borderId="0" xfId="0" applyFont="1" applyFill="1" applyBorder="1" applyAlignment="1" applyProtection="1">
      <alignment horizontal="left"/>
    </xf>
    <xf numFmtId="0" fontId="95" fillId="25" borderId="0" xfId="0" applyFont="1" applyFill="1" applyBorder="1" applyProtection="1"/>
    <xf numFmtId="0" fontId="96" fillId="25" borderId="32" xfId="0" applyFont="1" applyFill="1" applyBorder="1" applyProtection="1"/>
    <xf numFmtId="0" fontId="95" fillId="10" borderId="0" xfId="0" applyFont="1" applyFill="1" applyBorder="1" applyProtection="1"/>
    <xf numFmtId="0" fontId="95" fillId="10" borderId="30" xfId="0" applyFont="1" applyFill="1" applyBorder="1" applyProtection="1"/>
    <xf numFmtId="0" fontId="97" fillId="25" borderId="0" xfId="0" applyFont="1" applyFill="1" applyBorder="1" applyAlignment="1" applyProtection="1">
      <alignment horizontal="left"/>
    </xf>
    <xf numFmtId="0" fontId="98" fillId="25" borderId="0" xfId="1" applyFont="1" applyFill="1" applyBorder="1" applyAlignment="1" applyProtection="1"/>
    <xf numFmtId="0" fontId="19" fillId="25" borderId="32" xfId="0" applyFont="1" applyFill="1" applyBorder="1" applyProtection="1"/>
    <xf numFmtId="0" fontId="19" fillId="25" borderId="46" xfId="0" applyFont="1" applyFill="1" applyBorder="1" applyProtection="1"/>
    <xf numFmtId="0" fontId="99" fillId="25" borderId="0" xfId="0" applyFont="1" applyFill="1" applyBorder="1" applyProtection="1"/>
    <xf numFmtId="179" fontId="2" fillId="19" borderId="46" xfId="0" applyNumberFormat="1" applyFont="1" applyFill="1" applyBorder="1" applyProtection="1"/>
    <xf numFmtId="0" fontId="28" fillId="25" borderId="56" xfId="0" applyFont="1" applyFill="1" applyBorder="1" applyAlignment="1" applyProtection="1">
      <alignment horizontal="left" vertical="center"/>
    </xf>
    <xf numFmtId="0" fontId="18" fillId="19" borderId="0" xfId="2" applyFont="1" applyFill="1" applyBorder="1" applyProtection="1"/>
    <xf numFmtId="0" fontId="18" fillId="19" borderId="0" xfId="2" applyFont="1" applyFill="1" applyProtection="1"/>
    <xf numFmtId="0" fontId="2" fillId="21" borderId="0" xfId="2" applyFill="1"/>
    <xf numFmtId="0" fontId="104" fillId="21" borderId="0" xfId="2" applyFont="1" applyFill="1"/>
    <xf numFmtId="0" fontId="104" fillId="21" borderId="0" xfId="2" applyFont="1" applyFill="1" applyAlignment="1">
      <alignment horizontal="center" vertical="center"/>
    </xf>
    <xf numFmtId="0" fontId="104"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4" fillId="2" borderId="60" xfId="0" applyFont="1" applyFill="1" applyBorder="1" applyAlignment="1">
      <alignment horizontal="center" vertical="top" wrapText="1"/>
    </xf>
    <xf numFmtId="0" fontId="3" fillId="0" borderId="0" xfId="2" applyFont="1" applyFill="1"/>
    <xf numFmtId="0" fontId="70" fillId="10" borderId="0" xfId="0" applyFont="1" applyFill="1" applyBorder="1" applyAlignment="1" applyProtection="1">
      <alignment horizontal="left" vertical="center"/>
    </xf>
    <xf numFmtId="0" fontId="100" fillId="25" borderId="0" xfId="0" applyFont="1" applyFill="1" applyBorder="1" applyAlignment="1" applyProtection="1">
      <alignment horizontal="center" vertical="center"/>
    </xf>
    <xf numFmtId="0" fontId="56" fillId="20" borderId="44" xfId="0" applyFont="1" applyFill="1" applyBorder="1" applyAlignment="1" applyProtection="1">
      <alignment horizontal="left" vertical="center"/>
    </xf>
    <xf numFmtId="0" fontId="56" fillId="20" borderId="42" xfId="0" applyFont="1" applyFill="1" applyBorder="1" applyAlignment="1" applyProtection="1">
      <alignment horizontal="left" vertical="center"/>
    </xf>
    <xf numFmtId="0" fontId="89"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NumberFormat="1" applyFill="1" applyBorder="1" applyAlignment="1">
      <alignment horizontal="left" vertical="center"/>
    </xf>
    <xf numFmtId="0" fontId="2" fillId="19" borderId="9" xfId="2" applyNumberFormat="1"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6" fillId="3" borderId="52" xfId="2" applyFont="1" applyFill="1" applyBorder="1" applyAlignment="1">
      <alignment horizontal="center" vertical="center"/>
    </xf>
    <xf numFmtId="0" fontId="76" fillId="3" borderId="53" xfId="2" applyFont="1" applyFill="1" applyBorder="1" applyAlignment="1">
      <alignment horizontal="center" vertical="center"/>
    </xf>
    <xf numFmtId="0" fontId="76"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3" fillId="19" borderId="56" xfId="2" applyFont="1" applyFill="1" applyBorder="1" applyAlignment="1" applyProtection="1">
      <alignment horizontal="left" vertical="center"/>
    </xf>
    <xf numFmtId="0" fontId="103" fillId="19" borderId="0" xfId="2" applyFont="1" applyFill="1" applyBorder="1" applyAlignment="1" applyProtection="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5">
    <cellStyle name="Comma 2" xfId="4" xr:uid="{00000000-0005-0000-0000-000000000000}"/>
    <cellStyle name="Normal 2" xfId="2" xr:uid="{00000000-0005-0000-0000-000003000000}"/>
    <cellStyle name="Normal 3" xfId="3" xr:uid="{00000000-0005-0000-0000-000004000000}"/>
    <cellStyle name="常规" xfId="0" builtinId="0"/>
    <cellStyle name="超链接" xfId="1" builtinId="8"/>
  </cellStyles>
  <dxfs count="27">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0000FF"/>
      <color rgb="FFFFFF99"/>
      <color rgb="FF003366"/>
      <color rgb="FFCCFFFF"/>
      <color rgb="FF7030A0"/>
      <color rgb="FFD1979B"/>
      <color rgb="FFDBEEF4"/>
      <color rgb="FF969696"/>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79.896787728566849</c:v>
                </c:pt>
                <c:pt idx="1">
                  <c:v>79.408189952245408</c:v>
                </c:pt>
                <c:pt idx="2">
                  <c:v>78.699161610637987</c:v>
                </c:pt>
                <c:pt idx="3">
                  <c:v>77.868151404294508</c:v>
                </c:pt>
                <c:pt idx="4">
                  <c:v>76.990655506411656</c:v>
                </c:pt>
                <c:pt idx="5">
                  <c:v>76.114265372190488</c:v>
                </c:pt>
                <c:pt idx="6">
                  <c:v>75.265070306613424</c:v>
                </c:pt>
                <c:pt idx="7">
                  <c:v>74.455469279605609</c:v>
                </c:pt>
                <c:pt idx="8">
                  <c:v>73.689991069442954</c:v>
                </c:pt>
                <c:pt idx="9">
                  <c:v>72.968941948563725</c:v>
                </c:pt>
                <c:pt idx="10">
                  <c:v>67.635091537292581</c:v>
                </c:pt>
                <c:pt idx="11">
                  <c:v>64.254439375647522</c:v>
                </c:pt>
                <c:pt idx="12">
                  <c:v>61.807562685916231</c:v>
                </c:pt>
                <c:pt idx="13">
                  <c:v>59.895120778666886</c:v>
                </c:pt>
                <c:pt idx="14">
                  <c:v>58.327175262085717</c:v>
                </c:pt>
                <c:pt idx="15">
                  <c:v>56.999414736801135</c:v>
                </c:pt>
                <c:pt idx="16">
                  <c:v>55.848591556918635</c:v>
                </c:pt>
                <c:pt idx="17">
                  <c:v>54.833522057495159</c:v>
                </c:pt>
                <c:pt idx="18">
                  <c:v>53.925912351780866</c:v>
                </c:pt>
                <c:pt idx="19">
                  <c:v>47.993457611885766</c:v>
                </c:pt>
                <c:pt idx="20">
                  <c:v>44.607027084491691</c:v>
                </c:pt>
                <c:pt idx="21">
                  <c:v>42.296588572868259</c:v>
                </c:pt>
                <c:pt idx="22">
                  <c:v>40.600698080648378</c:v>
                </c:pt>
                <c:pt idx="23">
                  <c:v>39.314042290857643</c:v>
                </c:pt>
                <c:pt idx="24">
                  <c:v>38.327512121891729</c:v>
                </c:pt>
                <c:pt idx="25">
                  <c:v>37.576501418102396</c:v>
                </c:pt>
                <c:pt idx="26">
                  <c:v>37.019955203604361</c:v>
                </c:pt>
                <c:pt idx="27">
                  <c:v>36.630535953883573</c:v>
                </c:pt>
                <c:pt idx="28">
                  <c:v>36.690647775114357</c:v>
                </c:pt>
                <c:pt idx="29">
                  <c:v>38.93477965038015</c:v>
                </c:pt>
                <c:pt idx="30">
                  <c:v>37.037428600014472</c:v>
                </c:pt>
                <c:pt idx="31">
                  <c:v>31.653245371086626</c:v>
                </c:pt>
                <c:pt idx="32">
                  <c:v>27.540118622895257</c:v>
                </c:pt>
                <c:pt idx="33">
                  <c:v>24.539375845451204</c:v>
                </c:pt>
                <c:pt idx="34">
                  <c:v>22.248337298433047</c:v>
                </c:pt>
                <c:pt idx="35">
                  <c:v>20.427716669402074</c:v>
                </c:pt>
                <c:pt idx="36">
                  <c:v>18.935642304254817</c:v>
                </c:pt>
                <c:pt idx="37">
                  <c:v>17.683198315092849</c:v>
                </c:pt>
                <c:pt idx="38">
                  <c:v>16.611705976521172</c:v>
                </c:pt>
                <c:pt idx="39">
                  <c:v>15.680752645806809</c:v>
                </c:pt>
                <c:pt idx="40">
                  <c:v>14.86151008027605</c:v>
                </c:pt>
                <c:pt idx="41">
                  <c:v>14.132800369090848</c:v>
                </c:pt>
                <c:pt idx="42">
                  <c:v>13.478672038947344</c:v>
                </c:pt>
                <c:pt idx="43">
                  <c:v>12.886848555576487</c:v>
                </c:pt>
                <c:pt idx="44">
                  <c:v>12.347702610417082</c:v>
                </c:pt>
                <c:pt idx="45">
                  <c:v>11.853558917148593</c:v>
                </c:pt>
                <c:pt idx="46">
                  <c:v>11.398208695431244</c:v>
                </c:pt>
                <c:pt idx="47">
                  <c:v>10.976564261241723</c:v>
                </c:pt>
                <c:pt idx="48">
                  <c:v>10.584408548628012</c:v>
                </c:pt>
                <c:pt idx="49">
                  <c:v>10.218210305909212</c:v>
                </c:pt>
                <c:pt idx="50">
                  <c:v>9.8749855812092253</c:v>
                </c:pt>
                <c:pt idx="51">
                  <c:v>9.5521923893783462</c:v>
                </c:pt>
                <c:pt idx="52">
                  <c:v>9.2476495335425177</c:v>
                </c:pt>
                <c:pt idx="53">
                  <c:v>8.9594732613563526</c:v>
                </c:pt>
                <c:pt idx="54">
                  <c:v>8.6860272638955038</c:v>
                </c:pt>
                <c:pt idx="55">
                  <c:v>8.4258827797325182</c:v>
                </c:pt>
                <c:pt idx="56">
                  <c:v>8.1777864408038834</c:v>
                </c:pt>
                <c:pt idx="57">
                  <c:v>7.9406341140076</c:v>
                </c:pt>
                <c:pt idx="58">
                  <c:v>7.7134494340219453</c:v>
                </c:pt>
                <c:pt idx="59">
                  <c:v>7.4953660423847568</c:v>
                </c:pt>
                <c:pt idx="60">
                  <c:v>7.2856127816768446</c:v>
                </c:pt>
                <c:pt idx="61">
                  <c:v>7.0835012664872306</c:v>
                </c:pt>
                <c:pt idx="62">
                  <c:v>6.8884153818483611</c:v>
                </c:pt>
                <c:pt idx="63">
                  <c:v>6.6998023570178367</c:v>
                </c:pt>
                <c:pt idx="64">
                  <c:v>6.5171651363442091</c:v>
                </c:pt>
                <c:pt idx="65">
                  <c:v>6.3400558255600439</c:v>
                </c:pt>
                <c:pt idx="66">
                  <c:v>6.1680700355787224</c:v>
                </c:pt>
                <c:pt idx="67">
                  <c:v>6.0008419799225461</c:v>
                </c:pt>
                <c:pt idx="68">
                  <c:v>5.8380402086226768</c:v>
                </c:pt>
                <c:pt idx="69">
                  <c:v>5.6793638825396346</c:v>
                </c:pt>
                <c:pt idx="70">
                  <c:v>5.5245395088512215</c:v>
                </c:pt>
                <c:pt idx="71">
                  <c:v>5.3733180719131548</c:v>
                </c:pt>
                <c:pt idx="72">
                  <c:v>5.2254725045527213</c:v>
                </c:pt>
                <c:pt idx="73">
                  <c:v>5.0807954536665312</c:v>
                </c:pt>
                <c:pt idx="74">
                  <c:v>4.9390973011891779</c:v>
                </c:pt>
                <c:pt idx="75">
                  <c:v>4.8002044074117221</c:v>
                </c:pt>
                <c:pt idx="76">
                  <c:v>4.6639575485135154</c:v>
                </c:pt>
                <c:pt idx="77">
                  <c:v>4.5302105242296848</c:v>
                </c:pt>
                <c:pt idx="78">
                  <c:v>4.3988289149660638</c:v>
                </c:pt>
                <c:pt idx="79">
                  <c:v>4.2696889705184944</c:v>
                </c:pt>
                <c:pt idx="80">
                  <c:v>4.1426766149531549</c:v>
                </c:pt>
                <c:pt idx="81">
                  <c:v>4.017686554237371</c:v>
                </c:pt>
                <c:pt idx="82">
                  <c:v>3.8946214749401911</c:v>
                </c:pt>
                <c:pt idx="83">
                  <c:v>3.7733913237995766</c:v>
                </c:pt>
                <c:pt idx="84">
                  <c:v>3.6539126592203197</c:v>
                </c:pt>
                <c:pt idx="85">
                  <c:v>3.5361080668571345</c:v>
                </c:pt>
                <c:pt idx="86">
                  <c:v>3.4199056323793631</c:v>
                </c:pt>
                <c:pt idx="87">
                  <c:v>3.3052384653291274</c:v>
                </c:pt>
                <c:pt idx="88">
                  <c:v>3.1920442686936727</c:v>
                </c:pt>
                <c:pt idx="89">
                  <c:v>3.0802649494300378</c:v>
                </c:pt>
                <c:pt idx="90">
                  <c:v>2.9698462657193172</c:v>
                </c:pt>
                <c:pt idx="91">
                  <c:v>2.8607375072002172</c:v>
                </c:pt>
                <c:pt idx="92">
                  <c:v>2.7528912048456649</c:v>
                </c:pt>
                <c:pt idx="93">
                  <c:v>2.6462628675107691</c:v>
                </c:pt>
                <c:pt idx="94">
                  <c:v>2.540810742501471</c:v>
                </c:pt>
                <c:pt idx="95">
                  <c:v>2.4364955977965246</c:v>
                </c:pt>
                <c:pt idx="96">
                  <c:v>2.3332805238061667</c:v>
                </c:pt>
                <c:pt idx="97">
                  <c:v>2.2311307527726516</c:v>
                </c:pt>
                <c:pt idx="98">
                  <c:v>2.1300134941148703</c:v>
                </c:pt>
                <c:pt idx="99">
                  <c:v>2.0298977841939965</c:v>
                </c:pt>
                <c:pt idx="100">
                  <c:v>1.9307543491328338</c:v>
                </c:pt>
                <c:pt idx="101">
                  <c:v>1.8325554794598435</c:v>
                </c:pt>
                <c:pt idx="102">
                  <c:v>1.7352749154726643</c:v>
                </c:pt>
                <c:pt idx="103">
                  <c:v>1.6388877423260344</c:v>
                </c:pt>
                <c:pt idx="104">
                  <c:v>1.5433702939474971</c:v>
                </c:pt>
                <c:pt idx="105">
                  <c:v>1.4487000649727411</c:v>
                </c:pt>
                <c:pt idx="106">
                  <c:v>1.354855629970996</c:v>
                </c:pt>
                <c:pt idx="107">
                  <c:v>1.2618165693019521</c:v>
                </c:pt>
                <c:pt idx="108">
                  <c:v>1.1695634010089382</c:v>
                </c:pt>
                <c:pt idx="109">
                  <c:v>1.0780775182101867</c:v>
                </c:pt>
                <c:pt idx="110">
                  <c:v>0.98734113150121705</c:v>
                </c:pt>
                <c:pt idx="111">
                  <c:v>0.89733721592725357</c:v>
                </c:pt>
                <c:pt idx="112">
                  <c:v>0.80804946212622686</c:v>
                </c:pt>
                <c:pt idx="113">
                  <c:v>0.71946223128015374</c:v>
                </c:pt>
                <c:pt idx="114">
                  <c:v>0.63156051354616161</c:v>
                </c:pt>
                <c:pt idx="115">
                  <c:v>0.54432988966903229</c:v>
                </c:pt>
                <c:pt idx="116">
                  <c:v>0.45775649550420244</c:v>
                </c:pt>
                <c:pt idx="117">
                  <c:v>0.37182698920510793</c:v>
                </c:pt>
                <c:pt idx="118">
                  <c:v>0.2865285208509622</c:v>
                </c:pt>
                <c:pt idx="119">
                  <c:v>0.20184870431122851</c:v>
                </c:pt>
                <c:pt idx="120">
                  <c:v>0.11777559116145028</c:v>
                </c:pt>
                <c:pt idx="121">
                  <c:v>3.4297646481351036E-2</c:v>
                </c:pt>
                <c:pt idx="122">
                  <c:v>-4.8596273618522472E-2</c:v>
                </c:pt>
                <c:pt idx="123">
                  <c:v>-0.13091694288215888</c:v>
                </c:pt>
                <c:pt idx="124">
                  <c:v>-0.21267478433334319</c:v>
                </c:pt>
                <c:pt idx="125">
                  <c:v>-0.29387988835795648</c:v>
                </c:pt>
                <c:pt idx="126">
                  <c:v>-0.37454202954987303</c:v>
                </c:pt>
                <c:pt idx="127">
                  <c:v>-0.45467068241815728</c:v>
                </c:pt>
                <c:pt idx="128">
                  <c:v>-0.5342750360447357</c:v>
                </c:pt>
                <c:pt idx="129">
                  <c:v>-0.61336400777420486</c:v>
                </c:pt>
                <c:pt idx="130">
                  <c:v>-0.69194625601040516</c:v>
                </c:pt>
                <c:pt idx="131">
                  <c:v>-0.77003019218828139</c:v>
                </c:pt>
                <c:pt idx="132">
                  <c:v>-0.84762399198362193</c:v>
                </c:pt>
                <c:pt idx="133">
                  <c:v>-0.9247356058181837</c:v>
                </c:pt>
                <c:pt idx="134">
                  <c:v>-1.0013727687129317</c:v>
                </c:pt>
                <c:pt idx="135">
                  <c:v>-1.077543009537717</c:v>
                </c:pt>
                <c:pt idx="136">
                  <c:v>-1.1532536597019054</c:v>
                </c:pt>
                <c:pt idx="137">
                  <c:v>-1.2285118613266055</c:v>
                </c:pt>
                <c:pt idx="138">
                  <c:v>-1.3033245749361848</c:v>
                </c:pt>
                <c:pt idx="139">
                  <c:v>-1.3776985867034326</c:v>
                </c:pt>
                <c:pt idx="140">
                  <c:v>-1.4516405152801848</c:v>
                </c:pt>
                <c:pt idx="141">
                  <c:v>-1.5251568182425896</c:v>
                </c:pt>
                <c:pt idx="142">
                  <c:v>-1.5982537981779557</c:v>
                </c:pt>
                <c:pt idx="143">
                  <c:v>-1.6709376084379883</c:v>
                </c:pt>
                <c:pt idx="144">
                  <c:v>-1.7432142585812851</c:v>
                </c:pt>
                <c:pt idx="145">
                  <c:v>-1.8150896195261523</c:v>
                </c:pt>
                <c:pt idx="146">
                  <c:v>-1.8865694284333647</c:v>
                </c:pt>
                <c:pt idx="147">
                  <c:v>-1.9576592933366366</c:v>
                </c:pt>
                <c:pt idx="148">
                  <c:v>-2.0283646975376781</c:v>
                </c:pt>
                <c:pt idx="149">
                  <c:v>-2.0986910037810436</c:v>
                </c:pt>
                <c:pt idx="150">
                  <c:v>-2.1686434582230159</c:v>
                </c:pt>
                <c:pt idx="151">
                  <c:v>-2.2382271942078482</c:v>
                </c:pt>
                <c:pt idx="152">
                  <c:v>-2.3074472358632954</c:v>
                </c:pt>
                <c:pt idx="153">
                  <c:v>-2.3763085015269994</c:v>
                </c:pt>
                <c:pt idx="154">
                  <c:v>-2.4448158070140193</c:v>
                </c:pt>
                <c:pt idx="155">
                  <c:v>-2.5129738687353171</c:v>
                </c:pt>
                <c:pt idx="156">
                  <c:v>-2.580787306676275</c:v>
                </c:pt>
                <c:pt idx="157">
                  <c:v>-2.6482606472434127</c:v>
                </c:pt>
                <c:pt idx="158">
                  <c:v>-2.7153983259873899</c:v>
                </c:pt>
                <c:pt idx="159">
                  <c:v>-2.7822046902092974</c:v>
                </c:pt>
                <c:pt idx="160">
                  <c:v>-2.8486840014571317</c:v>
                </c:pt>
                <c:pt idx="161">
                  <c:v>-2.9148404379185493</c:v>
                </c:pt>
                <c:pt idx="162">
                  <c:v>-2.980678096716046</c:v>
                </c:pt>
                <c:pt idx="163">
                  <c:v>-3.0462009961096497</c:v>
                </c:pt>
                <c:pt idx="164">
                  <c:v>-3.1114130776124704</c:v>
                </c:pt>
                <c:pt idx="165">
                  <c:v>-3.1763182080237637</c:v>
                </c:pt>
                <c:pt idx="166">
                  <c:v>-3.2409201813838813</c:v>
                </c:pt>
                <c:pt idx="167">
                  <c:v>-3.3052227208553591</c:v>
                </c:pt>
                <c:pt idx="168">
                  <c:v>-3.3692294805339111</c:v>
                </c:pt>
                <c:pt idx="169">
                  <c:v>-3.4329440471929957</c:v>
                </c:pt>
                <c:pt idx="170">
                  <c:v>-3.4963699419653298</c:v>
                </c:pt>
                <c:pt idx="171">
                  <c:v>-3.5595106219645296</c:v>
                </c:pt>
                <c:pt idx="172">
                  <c:v>-3.6223694818498324</c:v>
                </c:pt>
                <c:pt idx="173">
                  <c:v>-3.6849498553367117</c:v>
                </c:pt>
                <c:pt idx="174">
                  <c:v>-3.747255016655981</c:v>
                </c:pt>
                <c:pt idx="175">
                  <c:v>-3.8092881819638693</c:v>
                </c:pt>
                <c:pt idx="176">
                  <c:v>-3.8710525107053426</c:v>
                </c:pt>
                <c:pt idx="177">
                  <c:v>-3.9325511069328463</c:v>
                </c:pt>
                <c:pt idx="178">
                  <c:v>-3.9937870205825754</c:v>
                </c:pt>
                <c:pt idx="179">
                  <c:v>-4.0547632487100298</c:v>
                </c:pt>
                <c:pt idx="180">
                  <c:v>-4.1154827366869355</c:v>
                </c:pt>
                <c:pt idx="181">
                  <c:v>-4.1759483793609196</c:v>
                </c:pt>
                <c:pt idx="182">
                  <c:v>-4.2361630221797881</c:v>
                </c:pt>
                <c:pt idx="183">
                  <c:v>-4.2961294622818365</c:v>
                </c:pt>
                <c:pt idx="184">
                  <c:v>-4.3558504495536248</c:v>
                </c:pt>
                <c:pt idx="185">
                  <c:v>-4.4153286876565199</c:v>
                </c:pt>
                <c:pt idx="186">
                  <c:v>-4.4745668350234871</c:v>
                </c:pt>
                <c:pt idx="187">
                  <c:v>-4.5335675058270386</c:v>
                </c:pt>
                <c:pt idx="188">
                  <c:v>-4.5923332709197364</c:v>
                </c:pt>
                <c:pt idx="189">
                  <c:v>-4.6508666587482645</c:v>
                </c:pt>
                <c:pt idx="190">
                  <c:v>-4.7091701562420072</c:v>
                </c:pt>
                <c:pt idx="191">
                  <c:v>-4.7672462096772463</c:v>
                </c:pt>
                <c:pt idx="192">
                  <c:v>-4.8250972255178253</c:v>
                </c:pt>
                <c:pt idx="193">
                  <c:v>-4.8827255712331823</c:v>
                </c:pt>
                <c:pt idx="194">
                  <c:v>-4.9401335760945964</c:v>
                </c:pt>
                <c:pt idx="195">
                  <c:v>-4.9973235319503821</c:v>
                </c:pt>
                <c:pt idx="196">
                  <c:v>-5.0542976939809119</c:v>
                </c:pt>
                <c:pt idx="197">
                  <c:v>-5.1110582814340653</c:v>
                </c:pt>
                <c:pt idx="198">
                  <c:v>-5.1676074783418411</c:v>
                </c:pt>
                <c:pt idx="199">
                  <c:v>-5.2239474342187897</c:v>
                </c:pt>
                <c:pt idx="200">
                  <c:v>-5.2800802647428915</c:v>
                </c:pt>
                <c:pt idx="201">
                  <c:v>-5.3360080524194515</c:v>
                </c:pt>
                <c:pt idx="202">
                  <c:v>-5.3917328472285941</c:v>
                </c:pt>
                <c:pt idx="203">
                  <c:v>-5.4472566672569176</c:v>
                </c:pt>
                <c:pt idx="204">
                  <c:v>-5.5025814993137647</c:v>
                </c:pt>
                <c:pt idx="205">
                  <c:v>-5.5577092995326964</c:v>
                </c:pt>
                <c:pt idx="206">
                  <c:v>-5.6126419939585679</c:v>
                </c:pt>
                <c:pt idx="207">
                  <c:v>-5.6673814791206709</c:v>
                </c:pt>
                <c:pt idx="208">
                  <c:v>-5.7219296225924374</c:v>
                </c:pt>
                <c:pt idx="209">
                  <c:v>-5.7762882635380386</c:v>
                </c:pt>
                <c:pt idx="210">
                  <c:v>-5.8304592132462743</c:v>
                </c:pt>
                <c:pt idx="211">
                  <c:v>-5.8844442556523209</c:v>
                </c:pt>
                <c:pt idx="212">
                  <c:v>-5.9382451478473879</c:v>
                </c:pt>
                <c:pt idx="213">
                  <c:v>-5.9918636205769094</c:v>
                </c:pt>
                <c:pt idx="214">
                  <c:v>-6.0453013787274763</c:v>
                </c:pt>
                <c:pt idx="215">
                  <c:v>-6.0985601018029003</c:v>
                </c:pt>
                <c:pt idx="216">
                  <c:v>-6.1516414443896164</c:v>
                </c:pt>
                <c:pt idx="217">
                  <c:v>-6.2045470366118849</c:v>
                </c:pt>
                <c:pt idx="218">
                  <c:v>-6.2572784845769274</c:v>
                </c:pt>
                <c:pt idx="219">
                  <c:v>-6.3098373708103743</c:v>
                </c:pt>
                <c:pt idx="220">
                  <c:v>-6.3622252546822686</c:v>
                </c:pt>
                <c:pt idx="221">
                  <c:v>-6.4144436728238414</c:v>
                </c:pt>
                <c:pt idx="222">
                  <c:v>-6.4664941395353859</c:v>
                </c:pt>
                <c:pt idx="223">
                  <c:v>-6.5183781471854143</c:v>
                </c:pt>
                <c:pt idx="224">
                  <c:v>-6.5700971666013155</c:v>
                </c:pt>
                <c:pt idx="225">
                  <c:v>-6.6216526474518389</c:v>
                </c:pt>
                <c:pt idx="226">
                  <c:v>-7.1285173602953158</c:v>
                </c:pt>
                <c:pt idx="227">
                  <c:v>-7.6204792221744402</c:v>
                </c:pt>
                <c:pt idx="228">
                  <c:v>-8.0986908251993963</c:v>
                </c:pt>
                <c:pt idx="229">
                  <c:v>-8.5641593835710967</c:v>
                </c:pt>
                <c:pt idx="230">
                  <c:v>-9.0177689809366139</c:v>
                </c:pt>
                <c:pt idx="231">
                  <c:v>-9.460299009179252</c:v>
                </c:pt>
                <c:pt idx="232">
                  <c:v>-9.8924395304183186</c:v>
                </c:pt>
                <c:pt idx="233">
                  <c:v>-10.314804132138434</c:v>
                </c:pt>
                <c:pt idx="234">
                  <c:v>-10.727940725492759</c:v>
                </c:pt>
                <c:pt idx="235">
                  <c:v>-11.132340646186897</c:v>
                </c:pt>
                <c:pt idx="236">
                  <c:v>-11.528446347646703</c:v>
                </c:pt>
                <c:pt idx="237">
                  <c:v>-11.916657921810042</c:v>
                </c:pt>
                <c:pt idx="238">
                  <c:v>-12.297338639981355</c:v>
                </c:pt>
                <c:pt idx="239">
                  <c:v>-12.670819671993254</c:v>
                </c:pt>
                <c:pt idx="240">
                  <c:v>-13.03740411443092</c:v>
                </c:pt>
                <c:pt idx="241">
                  <c:v>-13.397370436414418</c:v>
                </c:pt>
                <c:pt idx="242">
                  <c:v>-13.75097543329206</c:v>
                </c:pt>
                <c:pt idx="243">
                  <c:v>-14.098456763730091</c:v>
                </c:pt>
                <c:pt idx="244">
                  <c:v>-14.44003513343956</c:v>
                </c:pt>
                <c:pt idx="245">
                  <c:v>-14.775916178655342</c:v>
                </c:pt>
                <c:pt idx="246">
                  <c:v>-15.106292094075895</c:v>
                </c:pt>
                <c:pt idx="247">
                  <c:v>-15.431343042971298</c:v>
                </c:pt>
                <c:pt idx="248">
                  <c:v>-15.751238381319293</c:v>
                </c:pt>
                <c:pt idx="249">
                  <c:v>-16.066137722931849</c:v>
                </c:pt>
                <c:pt idx="250">
                  <c:v>-16.376191868424648</c:v>
                </c:pt>
                <c:pt idx="251">
                  <c:v>-16.681543617425149</c:v>
                </c:pt>
                <c:pt idx="252">
                  <c:v>-16.982328480502595</c:v>
                </c:pt>
                <c:pt idx="253">
                  <c:v>-17.278675304845596</c:v>
                </c:pt>
                <c:pt idx="254">
                  <c:v>-17.570706825635888</c:v>
                </c:pt>
                <c:pt idx="255">
                  <c:v>-17.858540153309143</c:v>
                </c:pt>
                <c:pt idx="256">
                  <c:v>-18.142287205404592</c:v>
                </c:pt>
                <c:pt idx="257">
                  <c:v>-18.422055090441567</c:v>
                </c:pt>
                <c:pt idx="258">
                  <c:v>-18.697946450188695</c:v>
                </c:pt>
                <c:pt idx="259">
                  <c:v>-18.970059765779251</c:v>
                </c:pt>
                <c:pt idx="260">
                  <c:v>-19.2384896323506</c:v>
                </c:pt>
                <c:pt idx="261">
                  <c:v>-19.50332700622452</c:v>
                </c:pt>
                <c:pt idx="262">
                  <c:v>-19.764659428082233</c:v>
                </c:pt>
                <c:pt idx="263">
                  <c:v>-20.022571225107107</c:v>
                </c:pt>
                <c:pt idx="264">
                  <c:v>-20.277143694657717</c:v>
                </c:pt>
                <c:pt idx="265">
                  <c:v>-20.528455271683029</c:v>
                </c:pt>
                <c:pt idx="266">
                  <c:v>-20.776581681791374</c:v>
                </c:pt>
                <c:pt idx="267">
                  <c:v>-21.021596081627926</c:v>
                </c:pt>
                <c:pt idx="268">
                  <c:v>-21.263569187994989</c:v>
                </c:pt>
                <c:pt idx="269">
                  <c:v>-21.502569396960514</c:v>
                </c:pt>
                <c:pt idx="270">
                  <c:v>-21.738662894037866</c:v>
                </c:pt>
                <c:pt idx="271">
                  <c:v>-21.971913756380491</c:v>
                </c:pt>
                <c:pt idx="272">
                  <c:v>-22.202384047814924</c:v>
                </c:pt>
                <c:pt idx="273">
                  <c:v>-22.430133907432165</c:v>
                </c:pt>
                <c:pt idx="274">
                  <c:v>-22.655221632368352</c:v>
                </c:pt>
                <c:pt idx="275">
                  <c:v>-22.877703755328533</c:v>
                </c:pt>
                <c:pt idx="276">
                  <c:v>-23.097635117340761</c:v>
                </c:pt>
                <c:pt idx="277">
                  <c:v>-23.315068936170178</c:v>
                </c:pt>
                <c:pt idx="278">
                  <c:v>-23.530056870772679</c:v>
                </c:pt>
                <c:pt idx="279">
                  <c:v>-23.742649082124512</c:v>
                </c:pt>
                <c:pt idx="280">
                  <c:v>-23.952894290726334</c:v>
                </c:pt>
                <c:pt idx="281">
                  <c:v>-24.16083983104761</c:v>
                </c:pt>
                <c:pt idx="282">
                  <c:v>-24.366531703148496</c:v>
                </c:pt>
                <c:pt idx="283">
                  <c:v>-24.570014621691424</c:v>
                </c:pt>
                <c:pt idx="284">
                  <c:v>-24.771332062532736</c:v>
                </c:pt>
                <c:pt idx="285">
                  <c:v>-24.970526307065629</c:v>
                </c:pt>
                <c:pt idx="286">
                  <c:v>-25.167638484468743</c:v>
                </c:pt>
                <c:pt idx="287">
                  <c:v>-25.362708612000034</c:v>
                </c:pt>
                <c:pt idx="288">
                  <c:v>-25.555775633462517</c:v>
                </c:pt>
                <c:pt idx="289">
                  <c:v>-25.746877455956913</c:v>
                </c:pt>
                <c:pt idx="290">
                  <c:v>-25.936050985026078</c:v>
                </c:pt>
                <c:pt idx="291">
                  <c:v>-26.123332158287059</c:v>
                </c:pt>
                <c:pt idx="292">
                  <c:v>-26.30875597763854</c:v>
                </c:pt>
                <c:pt idx="293">
                  <c:v>-26.492356540124376</c:v>
                </c:pt>
                <c:pt idx="294">
                  <c:v>-26.674167067527424</c:v>
                </c:pt>
                <c:pt idx="295">
                  <c:v>-26.854219934762135</c:v>
                </c:pt>
                <c:pt idx="296">
                  <c:v>-27.032546697129426</c:v>
                </c:pt>
                <c:pt idx="297">
                  <c:v>-27.209178116492431</c:v>
                </c:pt>
                <c:pt idx="298">
                  <c:v>-27.384144186427836</c:v>
                </c:pt>
                <c:pt idx="299">
                  <c:v>-27.557474156403622</c:v>
                </c:pt>
                <c:pt idx="300">
                  <c:v>-27.729196555030487</c:v>
                </c:pt>
                <c:pt idx="301">
                  <c:v>-27.89933921243145</c:v>
                </c:pt>
                <c:pt idx="302">
                  <c:v>-28.067929281770954</c:v>
                </c:pt>
                <c:pt idx="303">
                  <c:v>-28.234993259982453</c:v>
                </c:pt>
                <c:pt idx="304">
                  <c:v>-28.400557007730999</c:v>
                </c:pt>
                <c:pt idx="305">
                  <c:v>-28.564645768645136</c:v>
                </c:pt>
                <c:pt idx="306">
                  <c:v>-28.7272841878506</c:v>
                </c:pt>
                <c:pt idx="307">
                  <c:v>-28.888496329836279</c:v>
                </c:pt>
                <c:pt idx="308">
                  <c:v>-29.048305695681282</c:v>
                </c:pt>
                <c:pt idx="309">
                  <c:v>-29.206735239670429</c:v>
                </c:pt>
                <c:pt idx="310">
                  <c:v>-29.363807385323963</c:v>
                </c:pt>
                <c:pt idx="311">
                  <c:v>-29.519544040866002</c:v>
                </c:pt>
                <c:pt idx="312">
                  <c:v>-29.673966614154832</c:v>
                </c:pt>
                <c:pt idx="313">
                  <c:v>-29.827096027097241</c:v>
                </c:pt>
                <c:pt idx="314">
                  <c:v>-29.978952729567681</c:v>
                </c:pt>
                <c:pt idx="315">
                  <c:v>-30.129556712852295</c:v>
                </c:pt>
                <c:pt idx="316">
                  <c:v>-30.27892752263671</c:v>
                </c:pt>
                <c:pt idx="317">
                  <c:v>-30.427084271555657</c:v>
                </c:pt>
                <c:pt idx="318">
                  <c:v>-30.574045651321597</c:v>
                </c:pt>
                <c:pt idx="319">
                  <c:v>-30.719829944448907</c:v>
                </c:pt>
                <c:pt idx="320">
                  <c:v>-30.864455035588989</c:v>
                </c:pt>
                <c:pt idx="321">
                  <c:v>-31.007938422491648</c:v>
                </c:pt>
                <c:pt idx="322">
                  <c:v>-31.150297226606639</c:v>
                </c:pt>
                <c:pt idx="323">
                  <c:v>-31.291548203339239</c:v>
                </c:pt>
                <c:pt idx="324">
                  <c:v>-31.431707751972908</c:v>
                </c:pt>
                <c:pt idx="325">
                  <c:v>-31.570791925271369</c:v>
                </c:pt>
                <c:pt idx="326">
                  <c:v>-31.708816438772189</c:v>
                </c:pt>
                <c:pt idx="327">
                  <c:v>-31.845796679783206</c:v>
                </c:pt>
                <c:pt idx="328">
                  <c:v>-31.981747716092791</c:v>
                </c:pt>
                <c:pt idx="329">
                  <c:v>-32.116684304404416</c:v>
                </c:pt>
                <c:pt idx="330">
                  <c:v>-32.250620898505595</c:v>
                </c:pt>
                <c:pt idx="331">
                  <c:v>-32.383571657180731</c:v>
                </c:pt>
                <c:pt idx="332">
                  <c:v>-32.51555045187731</c:v>
                </c:pt>
                <c:pt idx="333">
                  <c:v>-32.646570874134042</c:v>
                </c:pt>
                <c:pt idx="334">
                  <c:v>-32.776646242779648</c:v>
                </c:pt>
                <c:pt idx="335">
                  <c:v>-32.905789610910347</c:v>
                </c:pt>
                <c:pt idx="336">
                  <c:v>-33.034013772653871</c:v>
                </c:pt>
                <c:pt idx="337">
                  <c:v>-33.161331269727611</c:v>
                </c:pt>
                <c:pt idx="338">
                  <c:v>-33.287754397797926</c:v>
                </c:pt>
                <c:pt idx="339">
                  <c:v>-33.41329521264776</c:v>
                </c:pt>
                <c:pt idx="340">
                  <c:v>-33.537965536159049</c:v>
                </c:pt>
                <c:pt idx="341">
                  <c:v>-33.661776962116456</c:v>
                </c:pt>
                <c:pt idx="342">
                  <c:v>-33.784740861838422</c:v>
                </c:pt>
                <c:pt idx="343">
                  <c:v>-33.906868389641637</c:v>
                </c:pt>
                <c:pt idx="344">
                  <c:v>-34.028170488144433</c:v>
                </c:pt>
                <c:pt idx="345">
                  <c:v>-34.148657893414651</c:v>
                </c:pt>
                <c:pt idx="346">
                  <c:v>-34.268341139967291</c:v>
                </c:pt>
                <c:pt idx="347">
                  <c:v>-34.387230565616868</c:v>
                </c:pt>
                <c:pt idx="348">
                  <c:v>-34.505336316189442</c:v>
                </c:pt>
                <c:pt idx="349">
                  <c:v>-34.622668350098962</c:v>
                </c:pt>
                <c:pt idx="350">
                  <c:v>-34.739236442792489</c:v>
                </c:pt>
                <c:pt idx="351">
                  <c:v>-34.855050191068507</c:v>
                </c:pt>
                <c:pt idx="352">
                  <c:v>-34.970119017272665</c:v>
                </c:pt>
                <c:pt idx="353">
                  <c:v>-35.084452173374807</c:v>
                </c:pt>
                <c:pt idx="354">
                  <c:v>-35.198058744931352</c:v>
                </c:pt>
                <c:pt idx="355">
                  <c:v>-35.310947654936527</c:v>
                </c:pt>
                <c:pt idx="356">
                  <c:v>-35.42312766756632</c:v>
                </c:pt>
                <c:pt idx="357">
                  <c:v>-35.534607391818291</c:v>
                </c:pt>
                <c:pt idx="358">
                  <c:v>-35.645395285050945</c:v>
                </c:pt>
                <c:pt idx="359">
                  <c:v>-35.755499656425556</c:v>
                </c:pt>
                <c:pt idx="360">
                  <c:v>-35.864928670253768</c:v>
                </c:pt>
                <c:pt idx="361">
                  <c:v>-35.9736903492539</c:v>
                </c:pt>
                <c:pt idx="362">
                  <c:v>-36.081792577718701</c:v>
                </c:pt>
                <c:pt idx="363">
                  <c:v>-36.189243104597644</c:v>
                </c:pt>
                <c:pt idx="364">
                  <c:v>-36.296049546496107</c:v>
                </c:pt>
                <c:pt idx="365">
                  <c:v>-36.402219390594269</c:v>
                </c:pt>
                <c:pt idx="366">
                  <c:v>-36.507759997488094</c:v>
                </c:pt>
                <c:pt idx="367">
                  <c:v>-36.612678603954876</c:v>
                </c:pt>
                <c:pt idx="368">
                  <c:v>-36.716982325645603</c:v>
                </c:pt>
                <c:pt idx="369">
                  <c:v>-36.820678159706517</c:v>
                </c:pt>
                <c:pt idx="370">
                  <c:v>-36.92377298733183</c:v>
                </c:pt>
                <c:pt idx="371">
                  <c:v>-37.026273576249913</c:v>
                </c:pt>
                <c:pt idx="372">
                  <c:v>-37.128186583144839</c:v>
                </c:pt>
                <c:pt idx="373">
                  <c:v>-37.229518556015243</c:v>
                </c:pt>
                <c:pt idx="374">
                  <c:v>-37.330275936472447</c:v>
                </c:pt>
                <c:pt idx="375">
                  <c:v>-37.430465061979589</c:v>
                </c:pt>
                <c:pt idx="376">
                  <c:v>-37.530092168033626</c:v>
                </c:pt>
                <c:pt idx="377">
                  <c:v>-37.629163390291787</c:v>
                </c:pt>
                <c:pt idx="378">
                  <c:v>-37.727684766644188</c:v>
                </c:pt>
                <c:pt idx="379">
                  <c:v>-37.825662239234205</c:v>
                </c:pt>
                <c:pt idx="380">
                  <c:v>-37.923101656428109</c:v>
                </c:pt>
                <c:pt idx="381">
                  <c:v>-38.020008774735466</c:v>
                </c:pt>
                <c:pt idx="382">
                  <c:v>-38.116389260681686</c:v>
                </c:pt>
                <c:pt idx="383">
                  <c:v>-38.212248692634262</c:v>
                </c:pt>
                <c:pt idx="384">
                  <c:v>-38.307592562583785</c:v>
                </c:pt>
                <c:pt idx="385">
                  <c:v>-38.402426277881304</c:v>
                </c:pt>
                <c:pt idx="386">
                  <c:v>-38.496755162933084</c:v>
                </c:pt>
                <c:pt idx="387">
                  <c:v>-38.590584460854089</c:v>
                </c:pt>
                <c:pt idx="388">
                  <c:v>-38.683919335081356</c:v>
                </c:pt>
                <c:pt idx="389">
                  <c:v>-38.776764870948305</c:v>
                </c:pt>
                <c:pt idx="390">
                  <c:v>-38.869126077221182</c:v>
                </c:pt>
                <c:pt idx="391">
                  <c:v>-38.961007887598754</c:v>
                </c:pt>
                <c:pt idx="392">
                  <c:v>-39.052415162176054</c:v>
                </c:pt>
                <c:pt idx="393">
                  <c:v>-39.143352688873449</c:v>
                </c:pt>
                <c:pt idx="394">
                  <c:v>-39.233825184831844</c:v>
                </c:pt>
                <c:pt idx="395">
                  <c:v>-39.323837297774979</c:v>
                </c:pt>
                <c:pt idx="396">
                  <c:v>-39.413393607339728</c:v>
                </c:pt>
                <c:pt idx="397">
                  <c:v>-39.502498626375335</c:v>
                </c:pt>
                <c:pt idx="398">
                  <c:v>-39.591156802212339</c:v>
                </c:pt>
                <c:pt idx="399">
                  <c:v>-39.679372517902131</c:v>
                </c:pt>
                <c:pt idx="400">
                  <c:v>-39.767150093427787</c:v>
                </c:pt>
                <c:pt idx="401">
                  <c:v>-39.854493786887161</c:v>
                </c:pt>
                <c:pt idx="402">
                  <c:v>-39.94140779564875</c:v>
                </c:pt>
                <c:pt idx="403">
                  <c:v>-40.027896257481295</c:v>
                </c:pt>
                <c:pt idx="404">
                  <c:v>-40.113963251657587</c:v>
                </c:pt>
                <c:pt idx="405">
                  <c:v>-40.199612800033421</c:v>
                </c:pt>
                <c:pt idx="406">
                  <c:v>-40.28484886810206</c:v>
                </c:pt>
                <c:pt idx="407">
                  <c:v>-40.36967536602522</c:v>
                </c:pt>
                <c:pt idx="408">
                  <c:v>-40.454096149640783</c:v>
                </c:pt>
                <c:pt idx="409">
                  <c:v>-40.538115021448206</c:v>
                </c:pt>
                <c:pt idx="410">
                  <c:v>-40.621735731572002</c:v>
                </c:pt>
                <c:pt idx="411">
                  <c:v>-40.704961978703935</c:v>
                </c:pt>
                <c:pt idx="412">
                  <c:v>-40.787797411024478</c:v>
                </c:pt>
                <c:pt idx="413">
                  <c:v>-40.870245627104033</c:v>
                </c:pt>
                <c:pt idx="414">
                  <c:v>-40.952310176784515</c:v>
                </c:pt>
                <c:pt idx="415">
                  <c:v>-41.03399456204172</c:v>
                </c:pt>
                <c:pt idx="416">
                  <c:v>-41.115302237828942</c:v>
                </c:pt>
                <c:pt idx="417">
                  <c:v>-41.196236612902581</c:v>
                </c:pt>
                <c:pt idx="418">
                  <c:v>-41.276801050629658</c:v>
                </c:pt>
                <c:pt idx="419">
                  <c:v>-41.356998869778387</c:v>
                </c:pt>
                <c:pt idx="420">
                  <c:v>-41.436833345291632</c:v>
                </c:pt>
                <c:pt idx="421">
                  <c:v>-41.516307709044007</c:v>
                </c:pt>
                <c:pt idx="422">
                  <c:v>-41.59542515058294</c:v>
                </c:pt>
                <c:pt idx="423">
                  <c:v>-41.67418881785408</c:v>
                </c:pt>
                <c:pt idx="424">
                  <c:v>-41.752601817911469</c:v>
                </c:pt>
                <c:pt idx="425">
                  <c:v>-41.830667217612884</c:v>
                </c:pt>
                <c:pt idx="426">
                  <c:v>-41.90838804430058</c:v>
                </c:pt>
                <c:pt idx="427">
                  <c:v>-41.98576728646799</c:v>
                </c:pt>
                <c:pt idx="428">
                  <c:v>-42.062807894412543</c:v>
                </c:pt>
                <c:pt idx="429">
                  <c:v>-42.139512780875059</c:v>
                </c:pt>
                <c:pt idx="430">
                  <c:v>-42.215884821666016</c:v>
                </c:pt>
                <c:pt idx="431">
                  <c:v>-42.291926856278963</c:v>
                </c:pt>
                <c:pt idx="432">
                  <c:v>-42.367641688491418</c:v>
                </c:pt>
                <c:pt idx="433">
                  <c:v>-42.443032086953643</c:v>
                </c:pt>
                <c:pt idx="434">
                  <c:v>-42.518100785765341</c:v>
                </c:pt>
                <c:pt idx="435">
                  <c:v>-42.592850485040898</c:v>
                </c:pt>
                <c:pt idx="436">
                  <c:v>-42.667283851463118</c:v>
                </c:pt>
                <c:pt idx="437">
                  <c:v>-42.741403518825976</c:v>
                </c:pt>
                <c:pt idx="438">
                  <c:v>-42.81521208856649</c:v>
                </c:pt>
                <c:pt idx="439">
                  <c:v>-42.888712130286052</c:v>
                </c:pt>
                <c:pt idx="440">
                  <c:v>-42.961906182261359</c:v>
                </c:pt>
                <c:pt idx="441">
                  <c:v>-43.034796751945422</c:v>
                </c:pt>
                <c:pt idx="442">
                  <c:v>-43.10738631645853</c:v>
                </c:pt>
                <c:pt idx="443">
                  <c:v>-43.179677323069747</c:v>
                </c:pt>
                <c:pt idx="444">
                  <c:v>-43.25167218966893</c:v>
                </c:pt>
                <c:pt idx="445">
                  <c:v>-43.323373305229623</c:v>
                </c:pt>
                <c:pt idx="446">
                  <c:v>-43.3947830302629</c:v>
                </c:pt>
                <c:pt idx="447">
                  <c:v>-43.465903697262569</c:v>
                </c:pt>
                <c:pt idx="448">
                  <c:v>-43.536737611141632</c:v>
                </c:pt>
                <c:pt idx="449">
                  <c:v>-43.607287049660599</c:v>
                </c:pt>
                <c:pt idx="450">
                  <c:v>-43.677554263847391</c:v>
                </c:pt>
                <c:pt idx="451">
                  <c:v>-43.747541478409424</c:v>
                </c:pt>
                <c:pt idx="452">
                  <c:v>-43.8172508921378</c:v>
                </c:pt>
                <c:pt idx="453">
                  <c:v>-43.886684678303837</c:v>
                </c:pt>
                <c:pt idx="454">
                  <c:v>-43.955844985048202</c:v>
                </c:pt>
                <c:pt idx="455">
                  <c:v>-44.024733935762626</c:v>
                </c:pt>
                <c:pt idx="456">
                  <c:v>-44.093353629464637</c:v>
                </c:pt>
                <c:pt idx="457">
                  <c:v>-44.161706141165141</c:v>
                </c:pt>
                <c:pt idx="458">
                  <c:v>-44.229793522229286</c:v>
                </c:pt>
                <c:pt idx="459">
                  <c:v>-44.297617800730606</c:v>
                </c:pt>
                <c:pt idx="460">
                  <c:v>-44.365180981798595</c:v>
                </c:pt>
                <c:pt idx="461">
                  <c:v>-44.432485047960014</c:v>
                </c:pt>
                <c:pt idx="462">
                  <c:v>-44.499531959473735</c:v>
                </c:pt>
                <c:pt idx="463">
                  <c:v>-44.566323654659726</c:v>
                </c:pt>
                <c:pt idx="464">
                  <c:v>-44.632862050221817</c:v>
                </c:pt>
                <c:pt idx="465">
                  <c:v>-44.699149041564738</c:v>
                </c:pt>
                <c:pt idx="466">
                  <c:v>-44.765186503105397</c:v>
                </c:pt>
                <c:pt idx="467">
                  <c:v>-44.83097628857859</c:v>
                </c:pt>
                <c:pt idx="468">
                  <c:v>-44.896520231337107</c:v>
                </c:pt>
                <c:pt idx="469">
                  <c:v>-44.961820144646595</c:v>
                </c:pt>
                <c:pt idx="470">
                  <c:v>-45.02687782197512</c:v>
                </c:pt>
                <c:pt idx="471">
                  <c:v>-45.091695037277489</c:v>
                </c:pt>
                <c:pt idx="472">
                  <c:v>-45.156273545274743</c:v>
                </c:pt>
                <c:pt idx="473">
                  <c:v>-45.220615081728461</c:v>
                </c:pt>
                <c:pt idx="474">
                  <c:v>-45.284721363710467</c:v>
                </c:pt>
                <c:pt idx="475">
                  <c:v>-45.348594089867618</c:v>
                </c:pt>
                <c:pt idx="476">
                  <c:v>-45.412234940682112</c:v>
                </c:pt>
                <c:pt idx="477">
                  <c:v>-45.475645578727146</c:v>
                </c:pt>
                <c:pt idx="478">
                  <c:v>-45.538827648918208</c:v>
                </c:pt>
                <c:pt idx="479">
                  <c:v>-45.601782778759997</c:v>
                </c:pt>
                <c:pt idx="480">
                  <c:v>-45.66451257858904</c:v>
                </c:pt>
                <c:pt idx="481">
                  <c:v>-45.727018641812201</c:v>
                </c:pt>
                <c:pt idx="482">
                  <c:v>-45.789302545141069</c:v>
                </c:pt>
                <c:pt idx="483">
                  <c:v>-45.851365848822326</c:v>
                </c:pt>
                <c:pt idx="484">
                  <c:v>-45.913210096864219</c:v>
                </c:pt>
                <c:pt idx="485">
                  <c:v>-45.974836817259174</c:v>
                </c:pt>
                <c:pt idx="486">
                  <c:v>-46.036247522202629</c:v>
                </c:pt>
                <c:pt idx="487">
                  <c:v>-46.097443708308205</c:v>
                </c:pt>
                <c:pt idx="488">
                  <c:v>-46.158426856819226</c:v>
                </c:pt>
                <c:pt idx="489">
                  <c:v>-46.2191984338167</c:v>
                </c:pt>
                <c:pt idx="490">
                  <c:v>-46.279759890423875</c:v>
                </c:pt>
                <c:pt idx="491">
                  <c:v>-46.340112663007275</c:v>
                </c:pt>
                <c:pt idx="492">
                  <c:v>-46.400258173374496</c:v>
                </c:pt>
                <c:pt idx="493">
                  <c:v>-46.460197828968731</c:v>
                </c:pt>
                <c:pt idx="494">
                  <c:v>-46.519933023059998</c:v>
                </c:pt>
                <c:pt idx="495">
                  <c:v>-46.57946513493328</c:v>
                </c:pt>
                <c:pt idx="496">
                  <c:v>-46.638795530073594</c:v>
                </c:pt>
                <c:pt idx="497">
                  <c:v>-46.697925560348011</c:v>
                </c:pt>
                <c:pt idx="498">
                  <c:v>-46.756856564184702</c:v>
                </c:pt>
                <c:pt idx="499">
                  <c:v>-46.815589866749065</c:v>
                </c:pt>
                <c:pt idx="500">
                  <c:v>-46.874126780117045</c:v>
                </c:pt>
                <c:pt idx="501">
                  <c:v>-46.932468603445642</c:v>
                </c:pt>
                <c:pt idx="502">
                  <c:v>-46.990616623140582</c:v>
                </c:pt>
                <c:pt idx="503">
                  <c:v>-47.048572113021471</c:v>
                </c:pt>
                <c:pt idx="504">
                  <c:v>-47.106336334484133</c:v>
                </c:pt>
                <c:pt idx="505">
                  <c:v>-47.163910536660481</c:v>
                </c:pt>
                <c:pt idx="506">
                  <c:v>-47.221295956575759</c:v>
                </c:pt>
                <c:pt idx="507">
                  <c:v>-47.278493819303343</c:v>
                </c:pt>
                <c:pt idx="508">
                  <c:v>-47.335505338117116</c:v>
                </c:pt>
                <c:pt idx="509">
                  <c:v>-47.39233171464133</c:v>
                </c:pt>
                <c:pt idx="510">
                  <c:v>-47.448974138998281</c:v>
                </c:pt>
                <c:pt idx="511">
                  <c:v>-47.505433789953472</c:v>
                </c:pt>
                <c:pt idx="512">
                  <c:v>-47.561711835058716</c:v>
                </c:pt>
                <c:pt idx="513">
                  <c:v>-47.617809430792846</c:v>
                </c:pt>
                <c:pt idx="514">
                  <c:v>-47.673727722700306</c:v>
                </c:pt>
                <c:pt idx="515">
                  <c:v>-47.729467845527616</c:v>
                </c:pt>
                <c:pt idx="516">
                  <c:v>-47.785030923357688</c:v>
                </c:pt>
                <c:pt idx="517">
                  <c:v>-47.8404180697421</c:v>
                </c:pt>
                <c:pt idx="518">
                  <c:v>-47.895630387831346</c:v>
                </c:pt>
                <c:pt idx="519">
                  <c:v>-47.950668970503031</c:v>
                </c:pt>
                <c:pt idx="520">
                  <c:v>-48.005534900488193</c:v>
                </c:pt>
                <c:pt idx="521">
                  <c:v>-48.060229250495716</c:v>
                </c:pt>
                <c:pt idx="522">
                  <c:v>-48.114753083334719</c:v>
                </c:pt>
                <c:pt idx="523">
                  <c:v>-48.169107452035234</c:v>
                </c:pt>
                <c:pt idx="524">
                  <c:v>-48.223293399966998</c:v>
                </c:pt>
                <c:pt idx="525">
                  <c:v>-48.27731196095651</c:v>
                </c:pt>
                <c:pt idx="526">
                  <c:v>-48.331164159402221</c:v>
                </c:pt>
                <c:pt idx="527">
                  <c:v>-48.384851010388168</c:v>
                </c:pt>
                <c:pt idx="528">
                  <c:v>-48.438373519795739</c:v>
                </c:pt>
                <c:pt idx="529">
                  <c:v>-48.491732684413947</c:v>
                </c:pt>
                <c:pt idx="530">
                  <c:v>-48.544929492047899</c:v>
                </c:pt>
                <c:pt idx="531">
                  <c:v>-48.597964921625803</c:v>
                </c:pt>
                <c:pt idx="532">
                  <c:v>-48.650839943304327</c:v>
                </c:pt>
                <c:pt idx="533">
                  <c:v>-48.703555518572401</c:v>
                </c:pt>
                <c:pt idx="534">
                  <c:v>-48.756112600353532</c:v>
                </c:pt>
                <c:pt idx="535">
                  <c:v>-48.808512133106639</c:v>
                </c:pt>
                <c:pt idx="536">
                  <c:v>-48.860755052925349</c:v>
                </c:pt>
                <c:pt idx="537">
                  <c:v>-48.912842287635911</c:v>
                </c:pt>
                <c:pt idx="538">
                  <c:v>-48.964774756893654</c:v>
                </c:pt>
                <c:pt idx="539">
                  <c:v>-49.016553372278096</c:v>
                </c:pt>
                <c:pt idx="540">
                  <c:v>-49.068179037386642</c:v>
                </c:pt>
                <c:pt idx="541">
                  <c:v>-49.11965264792692</c:v>
                </c:pt>
                <c:pt idx="542">
                  <c:v>-49.170975091807861</c:v>
                </c:pt>
                <c:pt idx="543">
                  <c:v>-49.222147249229394</c:v>
                </c:pt>
                <c:pt idx="544">
                  <c:v>-49.273169992770967</c:v>
                </c:pt>
                <c:pt idx="545">
                  <c:v>-49.324044187478655</c:v>
                </c:pt>
                <c:pt idx="546">
                  <c:v>-49.374770690951237</c:v>
                </c:pt>
                <c:pt idx="547">
                  <c:v>-49.425350353424818</c:v>
                </c:pt>
                <c:pt idx="548">
                  <c:v>-49.475784017856519</c:v>
                </c:pt>
                <c:pt idx="549">
                  <c:v>-49.526072520006721</c:v>
                </c:pt>
                <c:pt idx="550">
                  <c:v>-49.57621668852039</c:v>
                </c:pt>
                <c:pt idx="551">
                  <c:v>-49.626217345007134</c:v>
                </c:pt>
                <c:pt idx="552">
                  <c:v>-49.676075304120118</c:v>
                </c:pt>
                <c:pt idx="553">
                  <c:v>-49.725791373634067</c:v>
                </c:pt>
                <c:pt idx="554">
                  <c:v>-49.775366354521864</c:v>
                </c:pt>
                <c:pt idx="555">
                  <c:v>-49.824801041030483</c:v>
                </c:pt>
                <c:pt idx="556">
                  <c:v>-49.87409622075554</c:v>
                </c:pt>
                <c:pt idx="557">
                  <c:v>-49.923252674714973</c:v>
                </c:pt>
                <c:pt idx="558">
                  <c:v>-49.972271177421717</c:v>
                </c:pt>
                <c:pt idx="559">
                  <c:v>-50.021152496955345</c:v>
                </c:pt>
                <c:pt idx="560">
                  <c:v>-50.069897395032683</c:v>
                </c:pt>
                <c:pt idx="561">
                  <c:v>-50.118506627077636</c:v>
                </c:pt>
                <c:pt idx="562">
                  <c:v>-50.166980942289797</c:v>
                </c:pt>
                <c:pt idx="563">
                  <c:v>-50.215321083712432</c:v>
                </c:pt>
                <c:pt idx="564">
                  <c:v>-50.263527788299285</c:v>
                </c:pt>
                <c:pt idx="565">
                  <c:v>-50.311601786980653</c:v>
                </c:pt>
                <c:pt idx="566">
                  <c:v>-50.359543804728432</c:v>
                </c:pt>
                <c:pt idx="567">
                  <c:v>-50.407354560620462</c:v>
                </c:pt>
                <c:pt idx="568">
                  <c:v>-50.455034767903875</c:v>
                </c:pt>
                <c:pt idx="569">
                  <c:v>-50.502585134057639</c:v>
                </c:pt>
                <c:pt idx="570">
                  <c:v>-50.550006360854255</c:v>
                </c:pt>
                <c:pt idx="571">
                  <c:v>-50.597299144420724</c:v>
                </c:pt>
                <c:pt idx="572">
                  <c:v>-50.644464175298545</c:v>
                </c:pt>
                <c:pt idx="573">
                  <c:v>-50.691502138503061</c:v>
                </c:pt>
                <c:pt idx="574">
                  <c:v>-50.738413713581984</c:v>
                </c:pt>
                <c:pt idx="575">
                  <c:v>-50.785199574673115</c:v>
                </c:pt>
                <c:pt idx="576">
                  <c:v>-50.831860390561346</c:v>
                </c:pt>
                <c:pt idx="577">
                  <c:v>-50.878396824734907</c:v>
                </c:pt>
                <c:pt idx="578">
                  <c:v>-50.924809535440886</c:v>
                </c:pt>
                <c:pt idx="579">
                  <c:v>-50.971099175739965</c:v>
                </c:pt>
                <c:pt idx="580">
                  <c:v>-51.017266393560604</c:v>
                </c:pt>
                <c:pt idx="581">
                  <c:v>-51.06331183175233</c:v>
                </c:pt>
                <c:pt idx="582">
                  <c:v>-51.109236128138477</c:v>
                </c:pt>
                <c:pt idx="583">
                  <c:v>-51.155039915568146</c:v>
                </c:pt>
                <c:pt idx="584">
                  <c:v>-51.200723821967635</c:v>
                </c:pt>
                <c:pt idx="585">
                  <c:v>-51.24628847039105</c:v>
                </c:pt>
                <c:pt idx="586">
                  <c:v>-51.291734479070399</c:v>
                </c:pt>
                <c:pt idx="587">
                  <c:v>-51.337062461464939</c:v>
                </c:pt>
                <c:pt idx="588">
                  <c:v>-51.382273026309981</c:v>
                </c:pt>
                <c:pt idx="589">
                  <c:v>-51.427366777665085</c:v>
                </c:pt>
                <c:pt idx="590">
                  <c:v>-51.472344314961546</c:v>
                </c:pt>
                <c:pt idx="591">
                  <c:v>-51.517206233049336</c:v>
                </c:pt>
                <c:pt idx="592">
                  <c:v>-51.561953122243523</c:v>
                </c:pt>
                <c:pt idx="593">
                  <c:v>-51.606585568369994</c:v>
                </c:pt>
                <c:pt idx="594">
                  <c:v>-51.65110415281066</c:v>
                </c:pt>
                <c:pt idx="595">
                  <c:v>-51.695509452548109</c:v>
                </c:pt>
                <c:pt idx="596">
                  <c:v>-51.739802040209653</c:v>
                </c:pt>
                <c:pt idx="597">
                  <c:v>-51.783982484110915</c:v>
                </c:pt>
                <c:pt idx="598">
                  <c:v>-51.828051348298764</c:v>
                </c:pt>
                <c:pt idx="599">
                  <c:v>-51.872009192593765</c:v>
                </c:pt>
                <c:pt idx="600">
                  <c:v>-51.915856572632215</c:v>
                </c:pt>
                <c:pt idx="601">
                  <c:v>-51.959594039907401</c:v>
                </c:pt>
                <c:pt idx="602">
                  <c:v>-52.003222141810646</c:v>
                </c:pt>
                <c:pt idx="603">
                  <c:v>-52.046741421671655</c:v>
                </c:pt>
                <c:pt idx="604">
                  <c:v>-52.090152418798425</c:v>
                </c:pt>
                <c:pt idx="605">
                  <c:v>-52.133455668516682</c:v>
                </c:pt>
                <c:pt idx="606">
                  <c:v>-54.172016854544438</c:v>
                </c:pt>
                <c:pt idx="607">
                  <c:v>-55.996949729276707</c:v>
                </c:pt>
                <c:pt idx="608">
                  <c:v>-57.64871690850434</c:v>
                </c:pt>
                <c:pt idx="609">
                  <c:v>-59.157295310015236</c:v>
                </c:pt>
                <c:pt idx="610">
                  <c:v>-60.545507023777873</c:v>
                </c:pt>
                <c:pt idx="611">
                  <c:v>-61.831126214498354</c:v>
                </c:pt>
                <c:pt idx="612">
                  <c:v>-63.028264341372676</c:v>
                </c:pt>
                <c:pt idx="613">
                  <c:v>-64.148311087046849</c:v>
                </c:pt>
                <c:pt idx="614">
                  <c:v>-65.200591572314039</c:v>
                </c:pt>
                <c:pt idx="615">
                  <c:v>-66.192836612865335</c:v>
                </c:pt>
                <c:pt idx="616">
                  <c:v>-67.131526369081328</c:v>
                </c:pt>
                <c:pt idx="617">
                  <c:v>-68.022146182804548</c:v>
                </c:pt>
                <c:pt idx="618">
                  <c:v>-68.366036463333415</c:v>
                </c:pt>
                <c:pt idx="619">
                  <c:v>-68.703254438340466</c:v>
                </c:pt>
                <c:pt idx="620">
                  <c:v>-69.034054253279834</c:v>
                </c:pt>
                <c:pt idx="621">
                  <c:v>-69.358675807690972</c:v>
                </c:pt>
                <c:pt idx="622">
                  <c:v>-69.677345800407394</c:v>
                </c:pt>
                <c:pt idx="623">
                  <c:v>-69.990278680633125</c:v>
                </c:pt>
                <c:pt idx="624">
                  <c:v>-70.297677514880405</c:v>
                </c:pt>
                <c:pt idx="625">
                  <c:v>-70.599734778545553</c:v>
                </c:pt>
                <c:pt idx="626">
                  <c:v>-70.89663307984992</c:v>
                </c:pt>
                <c:pt idx="627">
                  <c:v>-71.188545822964642</c:v>
                </c:pt>
                <c:pt idx="628">
                  <c:v>-71.475637816348311</c:v>
                </c:pt>
                <c:pt idx="629">
                  <c:v>-71.758065831641375</c:v>
                </c:pt>
                <c:pt idx="630">
                  <c:v>-72.035979117862453</c:v>
                </c:pt>
                <c:pt idx="631">
                  <c:v>-72.309519875128615</c:v>
                </c:pt>
                <c:pt idx="632">
                  <c:v>-72.57882369166397</c:v>
                </c:pt>
                <c:pt idx="633">
                  <c:v>-72.84401994745852</c:v>
                </c:pt>
                <c:pt idx="634">
                  <c:v>-73.10523218758523</c:v>
                </c:pt>
                <c:pt idx="635">
                  <c:v>-73.362578467871941</c:v>
                </c:pt>
                <c:pt idx="636">
                  <c:v>-73.616171675348753</c:v>
                </c:pt>
                <c:pt idx="637">
                  <c:v>-73.8661198256479</c:v>
                </c:pt>
                <c:pt idx="638">
                  <c:v>-74.11252633931737</c:v>
                </c:pt>
                <c:pt idx="639">
                  <c:v>-74.355490298816974</c:v>
                </c:pt>
                <c:pt idx="640">
                  <c:v>-74.595106687795209</c:v>
                </c:pt>
                <c:pt idx="641">
                  <c:v>-74.831466614093344</c:v>
                </c:pt>
                <c:pt idx="642">
                  <c:v>-75.06465751778633</c:v>
                </c:pt>
                <c:pt idx="643">
                  <c:v>-75.294763365450052</c:v>
                </c:pt>
                <c:pt idx="644">
                  <c:v>-75.521864831734376</c:v>
                </c:pt>
                <c:pt idx="645">
                  <c:v>-75.746039469224854</c:v>
                </c:pt>
                <c:pt idx="646">
                  <c:v>-75.967361867488009</c:v>
                </c:pt>
                <c:pt idx="647">
                  <c:v>-76.185903802115973</c:v>
                </c:pt>
                <c:pt idx="648">
                  <c:v>-76.401734374516323</c:v>
                </c:pt>
                <c:pt idx="649">
                  <c:v>-76.614920143127591</c:v>
                </c:pt>
                <c:pt idx="650">
                  <c:v>-76.82552524668445</c:v>
                </c:pt>
                <c:pt idx="651">
                  <c:v>-77.033611520103378</c:v>
                </c:pt>
                <c:pt idx="652">
                  <c:v>-77.23923860351286</c:v>
                </c:pt>
                <c:pt idx="653">
                  <c:v>-77.442464044908988</c:v>
                </c:pt>
                <c:pt idx="654">
                  <c:v>-77.643343396878649</c:v>
                </c:pt>
                <c:pt idx="655">
                  <c:v>-77.841930307796787</c:v>
                </c:pt>
                <c:pt idx="656">
                  <c:v>-78.03827660787266</c:v>
                </c:pt>
                <c:pt idx="657">
                  <c:v>-78.232432390389889</c:v>
                </c:pt>
                <c:pt idx="658">
                  <c:v>-78.424446088459263</c:v>
                </c:pt>
                <c:pt idx="659">
                  <c:v>-78.614364547578234</c:v>
                </c:pt>
                <c:pt idx="660">
                  <c:v>-78.80223309426917</c:v>
                </c:pt>
                <c:pt idx="661">
                  <c:v>-78.988095601047903</c:v>
                </c:pt>
                <c:pt idx="662">
                  <c:v>-79.171994547955492</c:v>
                </c:pt>
                <c:pt idx="663">
                  <c:v>-79.353971080869115</c:v>
                </c:pt>
                <c:pt idx="664">
                  <c:v>-79.534065066792351</c:v>
                </c:pt>
                <c:pt idx="665">
                  <c:v>-79.712315146310587</c:v>
                </c:pt>
                <c:pt idx="666">
                  <c:v>-79.888758783384276</c:v>
                </c:pt>
                <c:pt idx="667">
                  <c:v>-80.063432312640558</c:v>
                </c:pt>
              </c:numCache>
            </c:numRef>
          </c:yVal>
          <c:smooth val="1"/>
          <c:extLst>
            <c:ext xmlns:c16="http://schemas.microsoft.com/office/drawing/2014/chart" uri="{C3380CC4-5D6E-409C-BE32-E72D297353CC}">
              <c16:uniqueId val="{00000000-D84C-4E31-8C1B-AB1C7F1082B0}"/>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84C-4E31-8C1B-AB1C7F1082B0}"/>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2.2669414874152647</c:v>
                </c:pt>
              </c:numCache>
            </c:numRef>
          </c:xVal>
          <c:yVal>
            <c:numRef>
              <c:f>'Bode Plots Calculations'!$BF$683</c:f>
              <c:numCache>
                <c:formatCode>General</c:formatCode>
                <c:ptCount val="1"/>
                <c:pt idx="0">
                  <c:v>38.929746880865224</c:v>
                </c:pt>
              </c:numCache>
            </c:numRef>
          </c:yVal>
          <c:smooth val="1"/>
          <c:extLst>
            <c:ext xmlns:c16="http://schemas.microsoft.com/office/drawing/2014/chart" uri="{C3380CC4-5D6E-409C-BE32-E72D297353CC}">
              <c16:uniqueId val="{00000002-D84C-4E31-8C1B-AB1C7F1082B0}"/>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D84C-4E31-8C1B-AB1C7F1082B0}"/>
                </c:ext>
              </c:extLst>
            </c:dLbl>
            <c:spPr>
              <a:noFill/>
              <a:ln w="25400">
                <a:noFill/>
              </a:ln>
            </c:spPr>
            <c:txPr>
              <a:bodyPr/>
              <a:lstStyle/>
              <a:p>
                <a:pPr>
                  <a:defRPr sz="1000" b="1" i="0" u="none" strike="noStrike" baseline="0">
                    <a:solidFill>
                      <a:srgbClr val="0000FF"/>
                    </a:solidFill>
                    <a:latin typeface="Arial"/>
                    <a:ea typeface="Arial"/>
                    <a:cs typeface="Arial"/>
                  </a:defRPr>
                </a:pPr>
                <a:endParaRPr lang="zh-CN"/>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3.3747867530482689</c:v>
                </c:pt>
              </c:numCache>
            </c:numRef>
          </c:xVal>
          <c:yVal>
            <c:numRef>
              <c:f>'Bode Plots Calculations'!$BF$684</c:f>
              <c:numCache>
                <c:formatCode>General</c:formatCode>
                <c:ptCount val="1"/>
                <c:pt idx="0">
                  <c:v>28.445956960935259</c:v>
                </c:pt>
              </c:numCache>
            </c:numRef>
          </c:yVal>
          <c:smooth val="1"/>
          <c:extLst>
            <c:ext xmlns:c16="http://schemas.microsoft.com/office/drawing/2014/chart" uri="{C3380CC4-5D6E-409C-BE32-E72D297353CC}">
              <c16:uniqueId val="{00000004-D84C-4E31-8C1B-AB1C7F1082B0}"/>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D84C-4E31-8C1B-AB1C7F1082B0}"/>
                </c:ext>
              </c:extLst>
            </c:dLbl>
            <c:spPr>
              <a:noFill/>
              <a:ln w="25400">
                <a:noFill/>
              </a:ln>
            </c:spPr>
            <c:txPr>
              <a:bodyPr/>
              <a:lstStyle/>
              <a:p>
                <a:pPr>
                  <a:defRPr sz="1000" b="1" i="0" u="none" strike="noStrike" baseline="0">
                    <a:solidFill>
                      <a:srgbClr val="0000FF"/>
                    </a:solidFill>
                    <a:latin typeface="Arial"/>
                    <a:ea typeface="Arial"/>
                    <a:cs typeface="Arial"/>
                  </a:defRPr>
                </a:pPr>
                <a:endParaRPr lang="zh-CN"/>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2.4357964994453072</c:v>
                </c:pt>
              </c:numCache>
            </c:numRef>
          </c:xVal>
          <c:yVal>
            <c:numRef>
              <c:f>'Bode Plots Calculations'!$BF$685</c:f>
              <c:numCache>
                <c:formatCode>General</c:formatCode>
                <c:ptCount val="1"/>
                <c:pt idx="0">
                  <c:v>37.684756380466894</c:v>
                </c:pt>
              </c:numCache>
            </c:numRef>
          </c:yVal>
          <c:smooth val="1"/>
          <c:extLst>
            <c:ext xmlns:c16="http://schemas.microsoft.com/office/drawing/2014/chart" uri="{C3380CC4-5D6E-409C-BE32-E72D297353CC}">
              <c16:uniqueId val="{00000006-D84C-4E31-8C1B-AB1C7F1082B0}"/>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D84C-4E31-8C1B-AB1C7F1082B0}"/>
                </c:ext>
              </c:extLst>
            </c:dLbl>
            <c:spPr>
              <a:noFill/>
              <a:ln w="25400">
                <a:noFill/>
              </a:ln>
            </c:spPr>
            <c:txPr>
              <a:bodyPr/>
              <a:lstStyle/>
              <a:p>
                <a:pPr>
                  <a:defRPr sz="1000" b="1" i="0" u="none" strike="noStrike" baseline="0">
                    <a:solidFill>
                      <a:srgbClr val="0000FF"/>
                    </a:solidFill>
                    <a:latin typeface="Arial"/>
                    <a:ea typeface="Arial"/>
                    <a:cs typeface="Arial"/>
                  </a:defRPr>
                </a:pPr>
                <a:endParaRPr lang="zh-CN"/>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26.79376149389838</c:v>
                </c:pt>
              </c:numCache>
            </c:numRef>
          </c:xVal>
          <c:yVal>
            <c:numRef>
              <c:f>'Bode Plots Calculations'!$BF$686</c:f>
              <c:numCache>
                <c:formatCode>General</c:formatCode>
                <c:ptCount val="1"/>
                <c:pt idx="0">
                  <c:v>4.3226921294220997</c:v>
                </c:pt>
              </c:numCache>
            </c:numRef>
          </c:yVal>
          <c:smooth val="1"/>
          <c:extLst>
            <c:ext xmlns:c16="http://schemas.microsoft.com/office/drawing/2014/chart" uri="{C3380CC4-5D6E-409C-BE32-E72D297353CC}">
              <c16:uniqueId val="{00000008-D84C-4E31-8C1B-AB1C7F1082B0}"/>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D84C-4E31-8C1B-AB1C7F1082B0}"/>
                </c:ext>
              </c:extLst>
            </c:dLbl>
            <c:spPr>
              <a:noFill/>
              <a:ln w="25400">
                <a:noFill/>
              </a:ln>
            </c:spPr>
            <c:txPr>
              <a:bodyPr/>
              <a:lstStyle/>
              <a:p>
                <a:pPr>
                  <a:defRPr sz="1000" b="1" i="0" u="none" strike="noStrike" baseline="0">
                    <a:solidFill>
                      <a:srgbClr val="0000FF"/>
                    </a:solidFill>
                    <a:latin typeface="Arial"/>
                    <a:ea typeface="Arial"/>
                    <a:cs typeface="Arial"/>
                  </a:defRPr>
                </a:pPr>
                <a:endParaRPr lang="zh-CN"/>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8845.3160797395121</c:v>
                </c:pt>
              </c:numCache>
            </c:numRef>
          </c:xVal>
          <c:yVal>
            <c:numRef>
              <c:f>'Bode Plots Calculations'!$BF$687</c:f>
              <c:numCache>
                <c:formatCode>General</c:formatCode>
                <c:ptCount val="1"/>
                <c:pt idx="0">
                  <c:v>-77.932172460690026</c:v>
                </c:pt>
              </c:numCache>
            </c:numRef>
          </c:yVal>
          <c:smooth val="1"/>
          <c:extLst>
            <c:ext xmlns:c16="http://schemas.microsoft.com/office/drawing/2014/chart" uri="{C3380CC4-5D6E-409C-BE32-E72D297353CC}">
              <c16:uniqueId val="{0000000A-D84C-4E31-8C1B-AB1C7F1082B0}"/>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D84C-4E31-8C1B-AB1C7F1082B0}"/>
                </c:ext>
              </c:extLst>
            </c:dLbl>
            <c:spPr>
              <a:noFill/>
              <a:ln w="25400">
                <a:noFill/>
              </a:ln>
            </c:spPr>
            <c:txPr>
              <a:bodyPr/>
              <a:lstStyle/>
              <a:p>
                <a:pPr>
                  <a:defRPr sz="1000" b="1" i="0" u="none" strike="noStrike" baseline="0">
                    <a:solidFill>
                      <a:srgbClr val="000000"/>
                    </a:solidFill>
                    <a:latin typeface="Arial"/>
                    <a:ea typeface="Arial"/>
                    <a:cs typeface="Arial"/>
                  </a:defRPr>
                </a:pPr>
                <a:endParaRPr lang="zh-CN"/>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16.076256896339025</c:v>
                </c:pt>
              </c:numCache>
            </c:numRef>
          </c:xVal>
          <c:yVal>
            <c:numRef>
              <c:f>'Bode Plots Calculations'!$BF$682</c:f>
              <c:numCache>
                <c:formatCode>General</c:formatCode>
                <c:ptCount val="1"/>
                <c:pt idx="0">
                  <c:v>7.9053638328636877</c:v>
                </c:pt>
              </c:numCache>
            </c:numRef>
          </c:yVal>
          <c:smooth val="1"/>
          <c:extLst>
            <c:ext xmlns:c16="http://schemas.microsoft.com/office/drawing/2014/chart" uri="{C3380CC4-5D6E-409C-BE32-E72D297353CC}">
              <c16:uniqueId val="{0000000C-D84C-4E31-8C1B-AB1C7F1082B0}"/>
            </c:ext>
          </c:extLst>
        </c:ser>
        <c:dLbls>
          <c:showLegendKey val="0"/>
          <c:showVal val="0"/>
          <c:showCatName val="0"/>
          <c:showSerName val="0"/>
          <c:showPercent val="0"/>
          <c:showBubbleSize val="0"/>
        </c:dLbls>
        <c:axId val="132570496"/>
        <c:axId val="134219264"/>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-11.460610864137378</c:v>
                </c:pt>
                <c:pt idx="1">
                  <c:v>-22.064564563307702</c:v>
                </c:pt>
                <c:pt idx="2">
                  <c:v>-31.285730783883594</c:v>
                </c:pt>
                <c:pt idx="3">
                  <c:v>-38.993443340115242</c:v>
                </c:pt>
                <c:pt idx="4">
                  <c:v>-45.312902099228815</c:v>
                </c:pt>
                <c:pt idx="5">
                  <c:v>-50.467586319965825</c:v>
                </c:pt>
                <c:pt idx="6">
                  <c:v>-54.685931641328573</c:v>
                </c:pt>
                <c:pt idx="7">
                  <c:v>-58.164422075797781</c:v>
                </c:pt>
                <c:pt idx="8">
                  <c:v>-61.060229869368193</c:v>
                </c:pt>
                <c:pt idx="9">
                  <c:v>-63.495259042004207</c:v>
                </c:pt>
                <c:pt idx="10">
                  <c:v>-75.555984290509187</c:v>
                </c:pt>
                <c:pt idx="11">
                  <c:v>-79.748057182995609</c:v>
                </c:pt>
                <c:pt idx="12">
                  <c:v>-81.735412273769072</c:v>
                </c:pt>
                <c:pt idx="13">
                  <c:v>-82.813992182382108</c:v>
                </c:pt>
                <c:pt idx="14">
                  <c:v>-83.432502614567156</c:v>
                </c:pt>
                <c:pt idx="15">
                  <c:v>-83.786471596949895</c:v>
                </c:pt>
                <c:pt idx="16">
                  <c:v>-83.974542960950444</c:v>
                </c:pt>
                <c:pt idx="17">
                  <c:v>-84.051820878034889</c:v>
                </c:pt>
                <c:pt idx="18">
                  <c:v>-84.051491308151455</c:v>
                </c:pt>
                <c:pt idx="19">
                  <c:v>-82.348440253028684</c:v>
                </c:pt>
                <c:pt idx="20">
                  <c:v>-79.752821395994218</c:v>
                </c:pt>
                <c:pt idx="21">
                  <c:v>-76.990647526254349</c:v>
                </c:pt>
                <c:pt idx="22">
                  <c:v>-74.226600511587137</c:v>
                </c:pt>
                <c:pt idx="23">
                  <c:v>-71.532760738467985</c:v>
                </c:pt>
                <c:pt idx="24">
                  <c:v>-68.956242707538436</c:v>
                </c:pt>
                <c:pt idx="25">
                  <c:v>-66.536815548847599</c:v>
                </c:pt>
                <c:pt idx="26">
                  <c:v>-64.313679011531065</c:v>
                </c:pt>
                <c:pt idx="27">
                  <c:v>-62.32934008500623</c:v>
                </c:pt>
                <c:pt idx="28">
                  <c:v>-58.172665373995713</c:v>
                </c:pt>
                <c:pt idx="29">
                  <c:v>-75.977500686790492</c:v>
                </c:pt>
                <c:pt idx="30">
                  <c:v>-120.2732707676129</c:v>
                </c:pt>
                <c:pt idx="31">
                  <c:v>-137.99150798582662</c:v>
                </c:pt>
                <c:pt idx="32">
                  <c:v>-140.03281764014361</c:v>
                </c:pt>
                <c:pt idx="33">
                  <c:v>-137.88208806406365</c:v>
                </c:pt>
                <c:pt idx="34">
                  <c:v>-134.59185050666306</c:v>
                </c:pt>
                <c:pt idx="35">
                  <c:v>-131.09613306723179</c:v>
                </c:pt>
                <c:pt idx="36">
                  <c:v>-127.71664775076587</c:v>
                </c:pt>
                <c:pt idx="37">
                  <c:v>-124.56374713012711</c:v>
                </c:pt>
                <c:pt idx="38">
                  <c:v>-121.6666588720649</c:v>
                </c:pt>
                <c:pt idx="39">
                  <c:v>-119.02213291591222</c:v>
                </c:pt>
                <c:pt idx="40">
                  <c:v>-116.61431069325349</c:v>
                </c:pt>
                <c:pt idx="41">
                  <c:v>-114.42325370932701</c:v>
                </c:pt>
                <c:pt idx="42">
                  <c:v>-112.42864943481113</c:v>
                </c:pt>
                <c:pt idx="43">
                  <c:v>-110.61136286976794</c:v>
                </c:pt>
                <c:pt idx="44">
                  <c:v>-108.95400093185782</c:v>
                </c:pt>
                <c:pt idx="45">
                  <c:v>-107.44102461938861</c:v>
                </c:pt>
                <c:pt idx="46">
                  <c:v>-106.05866162148421</c:v>
                </c:pt>
                <c:pt idx="47">
                  <c:v>-104.79474035972025</c:v>
                </c:pt>
                <c:pt idx="48">
                  <c:v>-103.63850305067217</c:v>
                </c:pt>
                <c:pt idx="49">
                  <c:v>-102.5804242510126</c:v>
                </c:pt>
                <c:pt idx="50">
                  <c:v>-101.61204594963459</c:v>
                </c:pt>
                <c:pt idx="51">
                  <c:v>-100.72583271778531</c:v>
                </c:pt>
                <c:pt idx="52">
                  <c:v>-99.915046839928181</c:v>
                </c:pt>
                <c:pt idx="53">
                  <c:v>-99.173641772133237</c:v>
                </c:pt>
                <c:pt idx="54">
                  <c:v>-98.496171711044227</c:v>
                </c:pt>
                <c:pt idx="55">
                  <c:v>-97.87771498744938</c:v>
                </c:pt>
                <c:pt idx="56">
                  <c:v>-97.313809155981957</c:v>
                </c:pt>
                <c:pt idx="57">
                  <c:v>-96.800395898682154</c:v>
                </c:pt>
                <c:pt idx="58">
                  <c:v>-96.333774125998772</c:v>
                </c:pt>
                <c:pt idx="59">
                  <c:v>-95.910559911525951</c:v>
                </c:pt>
                <c:pt idx="60">
                  <c:v>-95.527652122567147</c:v>
                </c:pt>
                <c:pt idx="61">
                  <c:v>-95.182202803447154</c:v>
                </c:pt>
                <c:pt idx="62">
                  <c:v>-94.871591533064745</c:v>
                </c:pt>
                <c:pt idx="63">
                  <c:v>-94.593403115321962</c:v>
                </c:pt>
                <c:pt idx="64">
                  <c:v>-94.345408074364201</c:v>
                </c:pt>
                <c:pt idx="65">
                  <c:v>-94.125545519631274</c:v>
                </c:pt>
                <c:pt idx="66">
                  <c:v>-93.931908021904889</c:v>
                </c:pt>
                <c:pt idx="67">
                  <c:v>-93.762728203777783</c:v>
                </c:pt>
                <c:pt idx="68">
                  <c:v>-93.616366798774678</c:v>
                </c:pt>
                <c:pt idx="69">
                  <c:v>-93.491301974828119</c:v>
                </c:pt>
                <c:pt idx="70">
                  <c:v>-93.386119751687517</c:v>
                </c:pt>
                <c:pt idx="71">
                  <c:v>-93.299505369550729</c:v>
                </c:pt>
                <c:pt idx="72">
                  <c:v>-93.230235488909244</c:v>
                </c:pt>
                <c:pt idx="73">
                  <c:v>-93.177171120242619</c:v>
                </c:pt>
                <c:pt idx="74">
                  <c:v>-93.139251197546031</c:v>
                </c:pt>
                <c:pt idx="75">
                  <c:v>-93.11548672234882</c:v>
                </c:pt>
                <c:pt idx="76">
                  <c:v>-93.104955415380857</c:v>
                </c:pt>
                <c:pt idx="77">
                  <c:v>-93.106796821770672</c:v>
                </c:pt>
                <c:pt idx="78">
                  <c:v>-93.120207822945034</c:v>
                </c:pt>
                <c:pt idx="79">
                  <c:v>-93.144438514500379</c:v>
                </c:pt>
                <c:pt idx="80">
                  <c:v>-93.17878841445615</c:v>
                </c:pt>
                <c:pt idx="81">
                  <c:v>-93.222602970639471</c:v>
                </c:pt>
                <c:pt idx="82">
                  <c:v>-93.275270339639178</c:v>
                </c:pt>
                <c:pt idx="83">
                  <c:v>-93.336218412914334</c:v>
                </c:pt>
                <c:pt idx="84">
                  <c:v>-93.404912068340451</c:v>
                </c:pt>
                <c:pt idx="85">
                  <c:v>-93.480850627800706</c:v>
                </c:pt>
                <c:pt idx="86">
                  <c:v>-93.563565503443684</c:v>
                </c:pt>
                <c:pt idx="87">
                  <c:v>-93.652618016980497</c:v>
                </c:pt>
                <c:pt idx="88">
                  <c:v>-93.747597377924038</c:v>
                </c:pt>
                <c:pt idx="89">
                  <c:v>-93.84811880801908</c:v>
                </c:pt>
                <c:pt idx="90">
                  <c:v>-93.953821800296225</c:v>
                </c:pt>
                <c:pt idx="91">
                  <c:v>-94.064368502234871</c:v>
                </c:pt>
                <c:pt idx="92">
                  <c:v>-94.179442213452035</c:v>
                </c:pt>
                <c:pt idx="93">
                  <c:v>-94.298745989170399</c:v>
                </c:pt>
                <c:pt idx="94">
                  <c:v>-94.422001341463144</c:v>
                </c:pt>
                <c:pt idx="95">
                  <c:v>-94.548947030947318</c:v>
                </c:pt>
                <c:pt idx="96">
                  <c:v>-94.679337942199723</c:v>
                </c:pt>
                <c:pt idx="97">
                  <c:v>-94.812944036719188</c:v>
                </c:pt>
                <c:pt idx="98">
                  <c:v>-94.949549377752945</c:v>
                </c:pt>
                <c:pt idx="99">
                  <c:v>-95.088951221756716</c:v>
                </c:pt>
                <c:pt idx="100">
                  <c:v>-95.230959171667152</c:v>
                </c:pt>
                <c:pt idx="101">
                  <c:v>-95.375394387540567</c:v>
                </c:pt>
                <c:pt idx="102">
                  <c:v>-95.522088850452732</c:v>
                </c:pt>
                <c:pt idx="103">
                  <c:v>-95.670884675868081</c:v>
                </c:pt>
                <c:pt idx="104">
                  <c:v>-95.821633472973204</c:v>
                </c:pt>
                <c:pt idx="105">
                  <c:v>-95.974195746732647</c:v>
                </c:pt>
                <c:pt idx="106">
                  <c:v>-96.128440339666867</c:v>
                </c:pt>
                <c:pt idx="107">
                  <c:v>-96.284243910574773</c:v>
                </c:pt>
                <c:pt idx="108">
                  <c:v>-96.441490447627331</c:v>
                </c:pt>
                <c:pt idx="109">
                  <c:v>-96.600070813448582</c:v>
                </c:pt>
                <c:pt idx="110">
                  <c:v>-96.759882319972618</c:v>
                </c:pt>
                <c:pt idx="111">
                  <c:v>-96.920828331027082</c:v>
                </c:pt>
                <c:pt idx="112">
                  <c:v>-97.082817890741595</c:v>
                </c:pt>
                <c:pt idx="113">
                  <c:v>-97.24576537601466</c:v>
                </c:pt>
                <c:pt idx="114">
                  <c:v>-97.4095901714024</c:v>
                </c:pt>
                <c:pt idx="115">
                  <c:v>-97.574216364905851</c:v>
                </c:pt>
                <c:pt idx="116">
                  <c:v>-97.739572463244897</c:v>
                </c:pt>
                <c:pt idx="117">
                  <c:v>-97.905591125304127</c:v>
                </c:pt>
                <c:pt idx="118">
                  <c:v>-98.072208912531821</c:v>
                </c:pt>
                <c:pt idx="119">
                  <c:v>-98.239366055155912</c:v>
                </c:pt>
                <c:pt idx="120">
                  <c:v>-98.407006233162946</c:v>
                </c:pt>
                <c:pt idx="121">
                  <c:v>-98.575076371058174</c:v>
                </c:pt>
                <c:pt idx="122">
                  <c:v>-98.743526445494268</c:v>
                </c:pt>
                <c:pt idx="123">
                  <c:v>-98.912309304918494</c:v>
                </c:pt>
                <c:pt idx="124">
                  <c:v>-99.081380500448304</c:v>
                </c:pt>
                <c:pt idx="125">
                  <c:v>-99.250698127238721</c:v>
                </c:pt>
                <c:pt idx="126">
                  <c:v>-99.420222675655808</c:v>
                </c:pt>
                <c:pt idx="127">
                  <c:v>-99.589916891618017</c:v>
                </c:pt>
                <c:pt idx="128">
                  <c:v>-99.759745645510336</c:v>
                </c:pt>
                <c:pt idx="129">
                  <c:v>-99.929675809116645</c:v>
                </c:pt>
                <c:pt idx="130">
                  <c:v>-100.09967614005349</c:v>
                </c:pt>
                <c:pt idx="131">
                  <c:v>-100.2697171732237</c:v>
                </c:pt>
                <c:pt idx="132">
                  <c:v>-100.4397711188404</c:v>
                </c:pt>
                <c:pt idx="133">
                  <c:v>-100.60981176660209</c:v>
                </c:pt>
                <c:pt idx="134">
                  <c:v>-100.77981439562822</c:v>
                </c:pt>
                <c:pt idx="135">
                  <c:v>-100.94975568978987</c:v>
                </c:pt>
                <c:pt idx="136">
                  <c:v>-101.11961365809545</c:v>
                </c:pt>
                <c:pt idx="137">
                  <c:v>-101.28936755981286</c:v>
                </c:pt>
                <c:pt idx="138">
                  <c:v>-101.45899783403173</c:v>
                </c:pt>
                <c:pt idx="139">
                  <c:v>-101.62848603338796</c:v>
                </c:pt>
                <c:pt idx="140">
                  <c:v>-101.79781476169155</c:v>
                </c:pt>
                <c:pt idx="141">
                  <c:v>-101.96696761521568</c:v>
                </c:pt>
                <c:pt idx="142">
                  <c:v>-102.13592912742033</c:v>
                </c:pt>
                <c:pt idx="143">
                  <c:v>-102.30468471689925</c:v>
                </c:pt>
                <c:pt idx="144">
                  <c:v>-102.47322063835217</c:v>
                </c:pt>
                <c:pt idx="145">
                  <c:v>-102.64152393639705</c:v>
                </c:pt>
                <c:pt idx="146">
                  <c:v>-102.80958240204913</c:v>
                </c:pt>
                <c:pt idx="147">
                  <c:v>-102.97738453170533</c:v>
                </c:pt>
                <c:pt idx="148">
                  <c:v>-103.14491948848122</c:v>
                </c:pt>
                <c:pt idx="149">
                  <c:v>-103.31217706575977</c:v>
                </c:pt>
                <c:pt idx="150">
                  <c:v>-103.4791476528177</c:v>
                </c:pt>
                <c:pt idx="151">
                  <c:v>-103.64582220240588</c:v>
                </c:pt>
                <c:pt idx="152">
                  <c:v>-103.81219220016638</c:v>
                </c:pt>
                <c:pt idx="153">
                  <c:v>-103.9782496357771</c:v>
                </c:pt>
                <c:pt idx="154">
                  <c:v>-104.14398697572145</c:v>
                </c:pt>
                <c:pt idx="155">
                  <c:v>-104.30939713758693</c:v>
                </c:pt>
                <c:pt idx="156">
                  <c:v>-104.47447346580245</c:v>
                </c:pt>
                <c:pt idx="157">
                  <c:v>-104.63920970873014</c:v>
                </c:pt>
                <c:pt idx="158">
                  <c:v>-104.8035999970319</c:v>
                </c:pt>
                <c:pt idx="159">
                  <c:v>-104.9676388232366</c:v>
                </c:pt>
                <c:pt idx="160">
                  <c:v>-105.13132102243813</c:v>
                </c:pt>
                <c:pt idx="161">
                  <c:v>-105.29464175405856</c:v>
                </c:pt>
                <c:pt idx="162">
                  <c:v>-105.4575964846148</c:v>
                </c:pt>
                <c:pt idx="163">
                  <c:v>-105.62018097143128</c:v>
                </c:pt>
                <c:pt idx="164">
                  <c:v>-105.78239124724402</c:v>
                </c:pt>
                <c:pt idx="165">
                  <c:v>-105.94422360564512</c:v>
                </c:pt>
                <c:pt idx="166">
                  <c:v>-106.10567458731977</c:v>
                </c:pt>
                <c:pt idx="167">
                  <c:v>-106.26674096703074</c:v>
                </c:pt>
                <c:pt idx="168">
                  <c:v>-106.42741974130792</c:v>
                </c:pt>
                <c:pt idx="169">
                  <c:v>-106.58770811680277</c:v>
                </c:pt>
                <c:pt idx="170">
                  <c:v>-106.74760349927099</c:v>
                </c:pt>
                <c:pt idx="171">
                  <c:v>-106.90710348314687</c:v>
                </c:pt>
                <c:pt idx="172">
                  <c:v>-107.0662058416776</c:v>
                </c:pt>
                <c:pt idx="173">
                  <c:v>-107.22490851758498</c:v>
                </c:pt>
                <c:pt idx="174">
                  <c:v>-107.38320961422609</c:v>
                </c:pt>
                <c:pt idx="175">
                  <c:v>-107.54110738722451</c:v>
                </c:pt>
                <c:pt idx="176">
                  <c:v>-107.69860023654671</c:v>
                </c:pt>
                <c:pt idx="177">
                  <c:v>-107.85568669899835</c:v>
                </c:pt>
                <c:pt idx="178">
                  <c:v>-108.01236544111788</c:v>
                </c:pt>
                <c:pt idx="179">
                  <c:v>-108.1686352524454</c:v>
                </c:pt>
                <c:pt idx="180">
                  <c:v>-108.32449503914606</c:v>
                </c:pt>
                <c:pt idx="181">
                  <c:v>-108.47994381796941</c:v>
                </c:pt>
                <c:pt idx="182">
                  <c:v>-108.63498071052493</c:v>
                </c:pt>
                <c:pt idx="183">
                  <c:v>-108.78960493785836</c:v>
                </c:pt>
                <c:pt idx="184">
                  <c:v>-108.94381581531104</c:v>
                </c:pt>
                <c:pt idx="185">
                  <c:v>-109.09761274764783</c:v>
                </c:pt>
                <c:pt idx="186">
                  <c:v>-109.2509952244388</c:v>
                </c:pt>
                <c:pt idx="187">
                  <c:v>-109.4039628156809</c:v>
                </c:pt>
                <c:pt idx="188">
                  <c:v>-109.5565151676474</c:v>
                </c:pt>
                <c:pt idx="189">
                  <c:v>-109.70865199895201</c:v>
                </c:pt>
                <c:pt idx="190">
                  <c:v>-109.86037309681687</c:v>
                </c:pt>
                <c:pt idx="191">
                  <c:v>-110.01167831353321</c:v>
                </c:pt>
                <c:pt idx="192">
                  <c:v>-110.1625675631047</c:v>
                </c:pt>
                <c:pt idx="193">
                  <c:v>-110.3130408180637</c:v>
                </c:pt>
                <c:pt idx="194">
                  <c:v>-110.46309810645104</c:v>
                </c:pt>
                <c:pt idx="195">
                  <c:v>-110.61273950895115</c:v>
                </c:pt>
                <c:pt idx="196">
                  <c:v>-110.76196515617374</c:v>
                </c:pt>
                <c:pt idx="197">
                  <c:v>-110.91077522607522</c:v>
                </c:pt>
                <c:pt idx="198">
                  <c:v>-111.05916994151146</c:v>
                </c:pt>
                <c:pt idx="199">
                  <c:v>-111.20714956791592</c:v>
                </c:pt>
                <c:pt idx="200">
                  <c:v>-111.35471441109604</c:v>
                </c:pt>
                <c:pt idx="201">
                  <c:v>-111.50186481514193</c:v>
                </c:pt>
                <c:pt idx="202">
                  <c:v>-111.64860116044173</c:v>
                </c:pt>
                <c:pt idx="203">
                  <c:v>-111.79492386179744</c:v>
                </c:pt>
                <c:pt idx="204">
                  <c:v>-111.94083336663681</c:v>
                </c:pt>
                <c:pt idx="205">
                  <c:v>-112.08633015331583</c:v>
                </c:pt>
                <c:pt idx="206">
                  <c:v>-112.23141472950714</c:v>
                </c:pt>
                <c:pt idx="207">
                  <c:v>-112.3760876306701</c:v>
                </c:pt>
                <c:pt idx="208">
                  <c:v>-112.52034941859841</c:v>
                </c:pt>
                <c:pt idx="209">
                  <c:v>-112.66420068004085</c:v>
                </c:pt>
                <c:pt idx="210">
                  <c:v>-112.80764202539191</c:v>
                </c:pt>
                <c:pt idx="211">
                  <c:v>-112.95067408744815</c:v>
                </c:pt>
                <c:pt idx="212">
                  <c:v>-113.09329752022779</c:v>
                </c:pt>
                <c:pt idx="213">
                  <c:v>-113.23551299784911</c:v>
                </c:pt>
                <c:pt idx="214">
                  <c:v>-113.37732121346583</c:v>
                </c:pt>
                <c:pt idx="215">
                  <c:v>-113.51872287825576</c:v>
                </c:pt>
                <c:pt idx="216">
                  <c:v>-113.65971872046032</c:v>
                </c:pt>
                <c:pt idx="217">
                  <c:v>-113.80030948447239</c:v>
                </c:pt>
                <c:pt idx="218">
                  <c:v>-113.94049592996984</c:v>
                </c:pt>
                <c:pt idx="219">
                  <c:v>-114.08027883109256</c:v>
                </c:pt>
                <c:pt idx="220">
                  <c:v>-114.21965897566076</c:v>
                </c:pt>
                <c:pt idx="221">
                  <c:v>-114.35863716443247</c:v>
                </c:pt>
                <c:pt idx="222">
                  <c:v>-114.49721421039798</c:v>
                </c:pt>
                <c:pt idx="223">
                  <c:v>-114.63539093811005</c:v>
                </c:pt>
                <c:pt idx="224">
                  <c:v>-114.77316818304726</c:v>
                </c:pt>
                <c:pt idx="225">
                  <c:v>-114.91054679100903</c:v>
                </c:pt>
                <c:pt idx="226">
                  <c:v>-116.26260022361573</c:v>
                </c:pt>
                <c:pt idx="227">
                  <c:v>-117.57577809978174</c:v>
                </c:pt>
                <c:pt idx="228">
                  <c:v>-118.85102843096013</c:v>
                </c:pt>
                <c:pt idx="229">
                  <c:v>-120.0893261694401</c:v>
                </c:pt>
                <c:pt idx="230">
                  <c:v>-121.29165740847698</c:v>
                </c:pt>
                <c:pt idx="231">
                  <c:v>-122.45900973548316</c:v>
                </c:pt>
                <c:pt idx="232">
                  <c:v>-123.59236622554734</c:v>
                </c:pt>
                <c:pt idx="233">
                  <c:v>-124.69270157346244</c:v>
                </c:pt>
                <c:pt idx="234">
                  <c:v>-125.76097947287228</c:v>
                </c:pt>
                <c:pt idx="235">
                  <c:v>-126.79815072008293</c:v>
                </c:pt>
                <c:pt idx="236">
                  <c:v>-127.80515174238791</c:v>
                </c:pt>
                <c:pt idx="237">
                  <c:v>-128.78290338362007</c:v>
                </c:pt>
                <c:pt idx="238">
                  <c:v>-129.73230985788595</c:v>
                </c:pt>
                <c:pt idx="239">
                  <c:v>-130.65425782739453</c:v>
                </c:pt>
                <c:pt idx="240">
                  <c:v>-131.54961558510459</c:v>
                </c:pt>
                <c:pt idx="241">
                  <c:v>-132.41923233570103</c:v>
                </c:pt>
                <c:pt idx="242">
                  <c:v>-133.26393757417068</c:v>
                </c:pt>
                <c:pt idx="243">
                  <c:v>-134.08454056305874</c:v>
                </c:pt>
                <c:pt idx="244">
                  <c:v>-134.88182990921385</c:v>
                </c:pt>
                <c:pt idx="245">
                  <c:v>-135.65657323958612</c:v>
                </c:pt>
                <c:pt idx="246">
                  <c:v>-136.40951697407752</c:v>
                </c:pt>
                <c:pt idx="247">
                  <c:v>-137.14138619191164</c:v>
                </c:pt>
                <c:pt idx="248">
                  <c:v>-137.85288458667159</c:v>
                </c:pt>
                <c:pt idx="249">
                  <c:v>-138.54469450412444</c:v>
                </c:pt>
                <c:pt idx="250">
                  <c:v>-139.21747705622187</c:v>
                </c:pt>
                <c:pt idx="251">
                  <c:v>-139.87187230421847</c:v>
                </c:pt>
                <c:pt idx="252">
                  <c:v>-140.50849950364687</c:v>
                </c:pt>
                <c:pt idx="253">
                  <c:v>-141.12795740388825</c:v>
                </c:pt>
                <c:pt idx="254">
                  <c:v>-141.73082459523891</c:v>
                </c:pt>
                <c:pt idx="255">
                  <c:v>-142.31765989665638</c:v>
                </c:pt>
                <c:pt idx="256">
                  <c:v>-142.88900277774033</c:v>
                </c:pt>
                <c:pt idx="257">
                  <c:v>-143.44537380893271</c:v>
                </c:pt>
                <c:pt idx="258">
                  <c:v>-143.98727513438931</c:v>
                </c:pt>
                <c:pt idx="259">
                  <c:v>-144.51519096245511</c:v>
                </c:pt>
                <c:pt idx="260">
                  <c:v>-145.02958806916064</c:v>
                </c:pt>
                <c:pt idx="261">
                  <c:v>-145.53091631062972</c:v>
                </c:pt>
                <c:pt idx="262">
                  <c:v>-146.01960914074581</c:v>
                </c:pt>
                <c:pt idx="263">
                  <c:v>-146.49608413085554</c:v>
                </c:pt>
                <c:pt idx="264">
                  <c:v>-146.96074348869394</c:v>
                </c:pt>
                <c:pt idx="265">
                  <c:v>-147.41397457409093</c:v>
                </c:pt>
                <c:pt idx="266">
                  <c:v>-147.85615040936398</c:v>
                </c:pt>
                <c:pt idx="267">
                  <c:v>-148.28763018261589</c:v>
                </c:pt>
                <c:pt idx="268">
                  <c:v>-148.70875974244183</c:v>
                </c:pt>
                <c:pt idx="269">
                  <c:v>-149.11987208280624</c:v>
                </c:pt>
                <c:pt idx="270">
                  <c:v>-149.52128781707751</c:v>
                </c:pt>
                <c:pt idx="271">
                  <c:v>-149.91331564041388</c:v>
                </c:pt>
                <c:pt idx="272">
                  <c:v>-150.29625277987276</c:v>
                </c:pt>
                <c:pt idx="273">
                  <c:v>-150.67038543177335</c:v>
                </c:pt>
                <c:pt idx="274">
                  <c:v>-151.03598918598166</c:v>
                </c:pt>
                <c:pt idx="275">
                  <c:v>-151.3933294369067</c:v>
                </c:pt>
                <c:pt idx="276">
                  <c:v>-151.74266178110014</c:v>
                </c:pt>
                <c:pt idx="277">
                  <c:v>-152.0842324014418</c:v>
                </c:pt>
                <c:pt idx="278">
                  <c:v>-152.41827843796756</c:v>
                </c:pt>
                <c:pt idx="279">
                  <c:v>-152.74502834546288</c:v>
                </c:pt>
                <c:pt idx="280">
                  <c:v>-153.06470223799741</c:v>
                </c:pt>
                <c:pt idx="281">
                  <c:v>-153.37751222062059</c:v>
                </c:pt>
                <c:pt idx="282">
                  <c:v>-153.68366270847702</c:v>
                </c:pt>
                <c:pt idx="283">
                  <c:v>-153.98335073362651</c:v>
                </c:pt>
                <c:pt idx="284">
                  <c:v>-154.27676623988017</c:v>
                </c:pt>
                <c:pt idx="285">
                  <c:v>-154.56409236598017</c:v>
                </c:pt>
                <c:pt idx="286">
                  <c:v>-154.84550571746405</c:v>
                </c:pt>
                <c:pt idx="287">
                  <c:v>-155.12117662756432</c:v>
                </c:pt>
                <c:pt idx="288">
                  <c:v>-155.39126940749941</c:v>
                </c:pt>
                <c:pt idx="289">
                  <c:v>-155.65594258651487</c:v>
                </c:pt>
                <c:pt idx="290">
                  <c:v>-155.91534914203393</c:v>
                </c:pt>
                <c:pt idx="291">
                  <c:v>-156.1696367202747</c:v>
                </c:pt>
                <c:pt idx="292">
                  <c:v>-156.41894784768775</c:v>
                </c:pt>
                <c:pt idx="293">
                  <c:v>-156.66342013356257</c:v>
                </c:pt>
                <c:pt idx="294">
                  <c:v>-156.9031864641448</c:v>
                </c:pt>
                <c:pt idx="295">
                  <c:v>-157.13837518859984</c:v>
                </c:pt>
                <c:pt idx="296">
                  <c:v>-157.3691102971485</c:v>
                </c:pt>
                <c:pt idx="297">
                  <c:v>-157.59551159169362</c:v>
                </c:pt>
                <c:pt idx="298">
                  <c:v>-157.81769484924661</c:v>
                </c:pt>
                <c:pt idx="299">
                  <c:v>-158.03577197845237</c:v>
                </c:pt>
                <c:pt idx="300">
                  <c:v>-158.24985116950381</c:v>
                </c:pt>
                <c:pt idx="301">
                  <c:v>-158.46003703772399</c:v>
                </c:pt>
                <c:pt idx="302">
                  <c:v>-158.66643076108804</c:v>
                </c:pt>
                <c:pt idx="303">
                  <c:v>-158.86913021194289</c:v>
                </c:pt>
                <c:pt idx="304">
                  <c:v>-159.06823008317693</c:v>
                </c:pt>
                <c:pt idx="305">
                  <c:v>-159.26382200907901</c:v>
                </c:pt>
                <c:pt idx="306">
                  <c:v>-159.4559946811188</c:v>
                </c:pt>
                <c:pt idx="307">
                  <c:v>-159.64483395887055</c:v>
                </c:pt>
                <c:pt idx="308">
                  <c:v>-159.83042297629228</c:v>
                </c:pt>
                <c:pt idx="309">
                  <c:v>-160.01284224356493</c:v>
                </c:pt>
                <c:pt idx="310">
                  <c:v>-160.19216974468742</c:v>
                </c:pt>
                <c:pt idx="311">
                  <c:v>-160.3684810310134</c:v>
                </c:pt>
                <c:pt idx="312">
                  <c:v>-160.54184931091007</c:v>
                </c:pt>
                <c:pt idx="313">
                  <c:v>-160.7123455357094</c:v>
                </c:pt>
                <c:pt idx="314">
                  <c:v>-160.88003848211611</c:v>
                </c:pt>
                <c:pt idx="315">
                  <c:v>-161.04499483122825</c:v>
                </c:pt>
                <c:pt idx="316">
                  <c:v>-161.20727924432063</c:v>
                </c:pt>
                <c:pt idx="317">
                  <c:v>-161.36695443553373</c:v>
                </c:pt>
                <c:pt idx="318">
                  <c:v>-161.52408124160385</c:v>
                </c:pt>
                <c:pt idx="319">
                  <c:v>-161.67871868876648</c:v>
                </c:pt>
                <c:pt idx="320">
                  <c:v>-161.83092405695535</c:v>
                </c:pt>
                <c:pt idx="321">
                  <c:v>-161.98075294141719</c:v>
                </c:pt>
                <c:pt idx="322">
                  <c:v>-162.12825931185515</c:v>
                </c:pt>
                <c:pt idx="323">
                  <c:v>-162.27349556920919</c:v>
                </c:pt>
                <c:pt idx="324">
                  <c:v>-162.4165126001763</c:v>
                </c:pt>
                <c:pt idx="325">
                  <c:v>-162.55735982956975</c:v>
                </c:pt>
                <c:pt idx="326">
                  <c:v>-162.69608527061061</c:v>
                </c:pt>
                <c:pt idx="327">
                  <c:v>-162.83273557324185</c:v>
                </c:pt>
                <c:pt idx="328">
                  <c:v>-162.96735607055015</c:v>
                </c:pt>
                <c:pt idx="329">
                  <c:v>-163.09999082337771</c:v>
                </c:pt>
                <c:pt idx="330">
                  <c:v>-163.23068266320092</c:v>
                </c:pt>
                <c:pt idx="331">
                  <c:v>-163.35947323335159</c:v>
                </c:pt>
                <c:pt idx="332">
                  <c:v>-163.48640302865053</c:v>
                </c:pt>
                <c:pt idx="333">
                  <c:v>-163.6115114335218</c:v>
                </c:pt>
                <c:pt idx="334">
                  <c:v>-163.73483675865214</c:v>
                </c:pt>
                <c:pt idx="335">
                  <c:v>-163.85641627625714</c:v>
                </c:pt>
                <c:pt idx="336">
                  <c:v>-163.97628625401305</c:v>
                </c:pt>
                <c:pt idx="337">
                  <c:v>-164.09448198771048</c:v>
                </c:pt>
                <c:pt idx="338">
                  <c:v>-164.21103783268367</c:v>
                </c:pt>
                <c:pt idx="339">
                  <c:v>-164.32598723406616</c:v>
                </c:pt>
                <c:pt idx="340">
                  <c:v>-164.43936275592222</c:v>
                </c:pt>
                <c:pt idx="341">
                  <c:v>-164.55119610930058</c:v>
                </c:pt>
                <c:pt idx="342">
                  <c:v>-164.66151817925464</c:v>
                </c:pt>
                <c:pt idx="343">
                  <c:v>-164.77035905087249</c:v>
                </c:pt>
                <c:pt idx="344">
                  <c:v>-164.87774803435673</c:v>
                </c:pt>
                <c:pt idx="345">
                  <c:v>-164.98371368919319</c:v>
                </c:pt>
                <c:pt idx="346">
                  <c:v>-165.08828384744587</c:v>
                </c:pt>
                <c:pt idx="347">
                  <c:v>-165.191485636213</c:v>
                </c:pt>
                <c:pt idx="348">
                  <c:v>-165.29334549927916</c:v>
                </c:pt>
                <c:pt idx="349">
                  <c:v>-165.3938892179944</c:v>
                </c:pt>
                <c:pt idx="350">
                  <c:v>-165.49314193141274</c:v>
                </c:pt>
                <c:pt idx="351">
                  <c:v>-165.59112815571888</c:v>
                </c:pt>
                <c:pt idx="352">
                  <c:v>-165.68787180297127</c:v>
                </c:pt>
                <c:pt idx="353">
                  <c:v>-165.78339619918967</c:v>
                </c:pt>
                <c:pt idx="354">
                  <c:v>-165.87772410181171</c:v>
                </c:pt>
                <c:pt idx="355">
                  <c:v>-165.97087771654432</c:v>
                </c:pt>
                <c:pt idx="356">
                  <c:v>-166.06287871363304</c:v>
                </c:pt>
                <c:pt idx="357">
                  <c:v>-166.15374824357255</c:v>
                </c:pt>
                <c:pt idx="358">
                  <c:v>-166.24350695227946</c:v>
                </c:pt>
                <c:pt idx="359">
                  <c:v>-166.33217499574852</c:v>
                </c:pt>
                <c:pt idx="360">
                  <c:v>-166.41977205421216</c:v>
                </c:pt>
                <c:pt idx="361">
                  <c:v>-166.50631734582228</c:v>
                </c:pt>
                <c:pt idx="362">
                  <c:v>-166.5918296398726</c:v>
                </c:pt>
                <c:pt idx="363">
                  <c:v>-166.67632726957891</c:v>
                </c:pt>
                <c:pt idx="364">
                  <c:v>-166.75982814443429</c:v>
                </c:pt>
                <c:pt idx="365">
                  <c:v>-166.84234976215495</c:v>
                </c:pt>
                <c:pt idx="366">
                  <c:v>-166.92390922023242</c:v>
                </c:pt>
                <c:pt idx="367">
                  <c:v>-167.00452322710629</c:v>
                </c:pt>
                <c:pt idx="368">
                  <c:v>-167.08420811297248</c:v>
                </c:pt>
                <c:pt idx="369">
                  <c:v>-167.16297984023947</c:v>
                </c:pt>
                <c:pt idx="370">
                  <c:v>-167.24085401364673</c:v>
                </c:pt>
                <c:pt idx="371">
                  <c:v>-167.31784589005636</c:v>
                </c:pt>
                <c:pt idx="372">
                  <c:v>-167.39397038793143</c:v>
                </c:pt>
                <c:pt idx="373">
                  <c:v>-167.46924209651118</c:v>
                </c:pt>
                <c:pt idx="374">
                  <c:v>-167.54367528469473</c:v>
                </c:pt>
                <c:pt idx="375">
                  <c:v>-167.61728390964365</c:v>
                </c:pt>
                <c:pt idx="376">
                  <c:v>-167.69008162511381</c:v>
                </c:pt>
                <c:pt idx="377">
                  <c:v>-167.76208178952569</c:v>
                </c:pt>
                <c:pt idx="378">
                  <c:v>-167.83329747378289</c:v>
                </c:pt>
                <c:pt idx="379">
                  <c:v>-167.90374146884764</c:v>
                </c:pt>
                <c:pt idx="380">
                  <c:v>-167.9734262930821</c:v>
                </c:pt>
                <c:pt idx="381">
                  <c:v>-168.04236419936339</c:v>
                </c:pt>
                <c:pt idx="382">
                  <c:v>-168.11056718198046</c:v>
                </c:pt>
                <c:pt idx="383">
                  <c:v>-168.1780469833208</c:v>
                </c:pt>
                <c:pt idx="384">
                  <c:v>-168.24481510035329</c:v>
                </c:pt>
                <c:pt idx="385">
                  <c:v>-168.31088279091568</c:v>
                </c:pt>
                <c:pt idx="386">
                  <c:v>-168.376261079812</c:v>
                </c:pt>
                <c:pt idx="387">
                  <c:v>-168.44096076472752</c:v>
                </c:pt>
                <c:pt idx="388">
                  <c:v>-168.50499242196722</c:v>
                </c:pt>
                <c:pt idx="389">
                  <c:v>-168.56836641202318</c:v>
                </c:pt>
                <c:pt idx="390">
                  <c:v>-168.63109288497768</c:v>
                </c:pt>
                <c:pt idx="391">
                  <c:v>-168.6931817857469</c:v>
                </c:pt>
                <c:pt idx="392">
                  <c:v>-168.75464285917064</c:v>
                </c:pt>
                <c:pt idx="393">
                  <c:v>-168.81548565495385</c:v>
                </c:pt>
                <c:pt idx="394">
                  <c:v>-168.87571953246365</c:v>
                </c:pt>
                <c:pt idx="395">
                  <c:v>-168.93535366538825</c:v>
                </c:pt>
                <c:pt idx="396">
                  <c:v>-168.99439704626087</c:v>
                </c:pt>
                <c:pt idx="397">
                  <c:v>-169.05285849085436</c:v>
                </c:pt>
                <c:pt idx="398">
                  <c:v>-169.11074664244953</c:v>
                </c:pt>
                <c:pt idx="399">
                  <c:v>-169.16806997598269</c:v>
                </c:pt>
                <c:pt idx="400">
                  <c:v>-169.22483680207489</c:v>
                </c:pt>
                <c:pt idx="401">
                  <c:v>-169.28105527094806</c:v>
                </c:pt>
                <c:pt idx="402">
                  <c:v>-169.3367333762308</c:v>
                </c:pt>
                <c:pt idx="403">
                  <c:v>-169.39187895865751</c:v>
                </c:pt>
                <c:pt idx="404">
                  <c:v>-169.44649970966472</c:v>
                </c:pt>
                <c:pt idx="405">
                  <c:v>-169.50060317488749</c:v>
                </c:pt>
                <c:pt idx="406">
                  <c:v>-169.55419675755903</c:v>
                </c:pt>
                <c:pt idx="407">
                  <c:v>-169.60728772181707</c:v>
                </c:pt>
                <c:pt idx="408">
                  <c:v>-169.65988319591926</c:v>
                </c:pt>
                <c:pt idx="409">
                  <c:v>-169.71199017537114</c:v>
                </c:pt>
                <c:pt idx="410">
                  <c:v>-169.76361552596879</c:v>
                </c:pt>
                <c:pt idx="411">
                  <c:v>-169.81476598675914</c:v>
                </c:pt>
                <c:pt idx="412">
                  <c:v>-169.86544817292102</c:v>
                </c:pt>
                <c:pt idx="413">
                  <c:v>-169.91566857856782</c:v>
                </c:pt>
                <c:pt idx="414">
                  <c:v>-169.96543357947633</c:v>
                </c:pt>
                <c:pt idx="415">
                  <c:v>-170.01474943574203</c:v>
                </c:pt>
                <c:pt idx="416">
                  <c:v>-170.06362229436448</c:v>
                </c:pt>
                <c:pt idx="417">
                  <c:v>-170.11205819176422</c:v>
                </c:pt>
                <c:pt idx="418">
                  <c:v>-170.16006305623341</c:v>
                </c:pt>
                <c:pt idx="419">
                  <c:v>-170.20764271032249</c:v>
                </c:pt>
                <c:pt idx="420">
                  <c:v>-170.25480287316424</c:v>
                </c:pt>
                <c:pt idx="421">
                  <c:v>-170.30154916273762</c:v>
                </c:pt>
                <c:pt idx="422">
                  <c:v>-170.34788709807299</c:v>
                </c:pt>
                <c:pt idx="423">
                  <c:v>-170.39382210140036</c:v>
                </c:pt>
                <c:pt idx="424">
                  <c:v>-170.43935950024266</c:v>
                </c:pt>
                <c:pt idx="425">
                  <c:v>-170.48450452945525</c:v>
                </c:pt>
                <c:pt idx="426">
                  <c:v>-170.5292623332135</c:v>
                </c:pt>
                <c:pt idx="427">
                  <c:v>-170.57363796694992</c:v>
                </c:pt>
                <c:pt idx="428">
                  <c:v>-170.6176363992426</c:v>
                </c:pt>
                <c:pt idx="429">
                  <c:v>-170.66126251365549</c:v>
                </c:pt>
                <c:pt idx="430">
                  <c:v>-170.70452111053314</c:v>
                </c:pt>
                <c:pt idx="431">
                  <c:v>-170.74741690875007</c:v>
                </c:pt>
                <c:pt idx="432">
                  <c:v>-170.78995454741698</c:v>
                </c:pt>
                <c:pt idx="433">
                  <c:v>-170.83213858754442</c:v>
                </c:pt>
                <c:pt idx="434">
                  <c:v>-170.8739735136655</c:v>
                </c:pt>
                <c:pt idx="435">
                  <c:v>-170.91546373541848</c:v>
                </c:pt>
                <c:pt idx="436">
                  <c:v>-170.95661358909084</c:v>
                </c:pt>
                <c:pt idx="437">
                  <c:v>-170.99742733912535</c:v>
                </c:pt>
                <c:pt idx="438">
                  <c:v>-171.03790917958969</c:v>
                </c:pt>
                <c:pt idx="439">
                  <c:v>-171.07806323561044</c:v>
                </c:pt>
                <c:pt idx="440">
                  <c:v>-171.1178935647722</c:v>
                </c:pt>
                <c:pt idx="441">
                  <c:v>-171.15740415848364</c:v>
                </c:pt>
                <c:pt idx="442">
                  <c:v>-171.19659894330991</c:v>
                </c:pt>
                <c:pt idx="443">
                  <c:v>-171.23548178227423</c:v>
                </c:pt>
                <c:pt idx="444">
                  <c:v>-171.27405647612773</c:v>
                </c:pt>
                <c:pt idx="445">
                  <c:v>-171.3123267645897</c:v>
                </c:pt>
                <c:pt idx="446">
                  <c:v>-171.35029632755811</c:v>
                </c:pt>
                <c:pt idx="447">
                  <c:v>-171.38796878629222</c:v>
                </c:pt>
                <c:pt idx="448">
                  <c:v>-171.42534770456703</c:v>
                </c:pt>
                <c:pt idx="449">
                  <c:v>-171.46243658980066</c:v>
                </c:pt>
                <c:pt idx="450">
                  <c:v>-171.49923889415626</c:v>
                </c:pt>
                <c:pt idx="451">
                  <c:v>-171.53575801561738</c:v>
                </c:pt>
                <c:pt idx="452">
                  <c:v>-171.57199729903908</c:v>
                </c:pt>
                <c:pt idx="453">
                  <c:v>-171.60796003717508</c:v>
                </c:pt>
                <c:pt idx="454">
                  <c:v>-171.64364947168048</c:v>
                </c:pt>
                <c:pt idx="455">
                  <c:v>-171.67906879409256</c:v>
                </c:pt>
                <c:pt idx="456">
                  <c:v>-171.71422114678859</c:v>
                </c:pt>
                <c:pt idx="457">
                  <c:v>-171.74910962392221</c:v>
                </c:pt>
                <c:pt idx="458">
                  <c:v>-171.78373727233844</c:v>
                </c:pt>
                <c:pt idx="459">
                  <c:v>-171.8181070924683</c:v>
                </c:pt>
                <c:pt idx="460">
                  <c:v>-171.85222203920338</c:v>
                </c:pt>
                <c:pt idx="461">
                  <c:v>-171.88608502275036</c:v>
                </c:pt>
                <c:pt idx="462">
                  <c:v>-171.91969890946712</c:v>
                </c:pt>
                <c:pt idx="463">
                  <c:v>-171.95306652267993</c:v>
                </c:pt>
                <c:pt idx="464">
                  <c:v>-171.9861906434827</c:v>
                </c:pt>
                <c:pt idx="465">
                  <c:v>-172.01907401151846</c:v>
                </c:pt>
                <c:pt idx="466">
                  <c:v>-172.05171932574368</c:v>
                </c:pt>
                <c:pt idx="467">
                  <c:v>-172.08412924517603</c:v>
                </c:pt>
                <c:pt idx="468">
                  <c:v>-172.11630638962575</c:v>
                </c:pt>
                <c:pt idx="469">
                  <c:v>-172.1482533404108</c:v>
                </c:pt>
                <c:pt idx="470">
                  <c:v>-172.17997264105713</c:v>
                </c:pt>
                <c:pt idx="471">
                  <c:v>-172.21146679798321</c:v>
                </c:pt>
                <c:pt idx="472">
                  <c:v>-172.24273828117012</c:v>
                </c:pt>
                <c:pt idx="473">
                  <c:v>-172.27378952481737</c:v>
                </c:pt>
                <c:pt idx="474">
                  <c:v>-172.30462292798438</c:v>
                </c:pt>
                <c:pt idx="475">
                  <c:v>-172.33524085521864</c:v>
                </c:pt>
                <c:pt idx="476">
                  <c:v>-172.36564563717019</c:v>
                </c:pt>
                <c:pt idx="477">
                  <c:v>-172.39583957119331</c:v>
                </c:pt>
                <c:pt idx="478">
                  <c:v>-172.42582492193566</c:v>
                </c:pt>
                <c:pt idx="479">
                  <c:v>-172.45560392191445</c:v>
                </c:pt>
                <c:pt idx="480">
                  <c:v>-172.48517877208141</c:v>
                </c:pt>
                <c:pt idx="481">
                  <c:v>-172.51455164237507</c:v>
                </c:pt>
                <c:pt idx="482">
                  <c:v>-172.54372467226213</c:v>
                </c:pt>
                <c:pt idx="483">
                  <c:v>-172.57269997126761</c:v>
                </c:pt>
                <c:pt idx="484">
                  <c:v>-172.60147961949349</c:v>
                </c:pt>
                <c:pt idx="485">
                  <c:v>-172.63006566812729</c:v>
                </c:pt>
                <c:pt idx="486">
                  <c:v>-172.65846013993985</c:v>
                </c:pt>
                <c:pt idx="487">
                  <c:v>-172.68666502977302</c:v>
                </c:pt>
                <c:pt idx="488">
                  <c:v>-172.71468230501745</c:v>
                </c:pt>
                <c:pt idx="489">
                  <c:v>-172.74251390608049</c:v>
                </c:pt>
                <c:pt idx="490">
                  <c:v>-172.77016174684474</c:v>
                </c:pt>
                <c:pt idx="491">
                  <c:v>-172.79762771511739</c:v>
                </c:pt>
                <c:pt idx="492">
                  <c:v>-172.82491367307028</c:v>
                </c:pt>
                <c:pt idx="493">
                  <c:v>-172.85202145767141</c:v>
                </c:pt>
                <c:pt idx="494">
                  <c:v>-172.87895288110761</c:v>
                </c:pt>
                <c:pt idx="495">
                  <c:v>-172.90570973119881</c:v>
                </c:pt>
                <c:pt idx="496">
                  <c:v>-172.93229377180404</c:v>
                </c:pt>
                <c:pt idx="497">
                  <c:v>-172.95870674321966</c:v>
                </c:pt>
                <c:pt idx="498">
                  <c:v>-172.98495036256924</c:v>
                </c:pt>
                <c:pt idx="499">
                  <c:v>-173.01102632418616</c:v>
                </c:pt>
                <c:pt idx="500">
                  <c:v>-173.03693629998855</c:v>
                </c:pt>
                <c:pt idx="501">
                  <c:v>-173.0626819398469</c:v>
                </c:pt>
                <c:pt idx="502">
                  <c:v>-173.08826487194426</c:v>
                </c:pt>
                <c:pt idx="503">
                  <c:v>-173.11368670313021</c:v>
                </c:pt>
                <c:pt idx="504">
                  <c:v>-173.13894901926665</c:v>
                </c:pt>
                <c:pt idx="505">
                  <c:v>-173.16405338556851</c:v>
                </c:pt>
                <c:pt idx="506">
                  <c:v>-173.18900134693624</c:v>
                </c:pt>
                <c:pt idx="507">
                  <c:v>-173.21379442828345</c:v>
                </c:pt>
                <c:pt idx="508">
                  <c:v>-173.23843413485702</c:v>
                </c:pt>
                <c:pt idx="509">
                  <c:v>-173.26292195255195</c:v>
                </c:pt>
                <c:pt idx="510">
                  <c:v>-173.28725934821966</c:v>
                </c:pt>
                <c:pt idx="511">
                  <c:v>-173.31144776997093</c:v>
                </c:pt>
                <c:pt idx="512">
                  <c:v>-173.33548864747257</c:v>
                </c:pt>
                <c:pt idx="513">
                  <c:v>-173.35938339223898</c:v>
                </c:pt>
                <c:pt idx="514">
                  <c:v>-173.38313339791796</c:v>
                </c:pt>
                <c:pt idx="515">
                  <c:v>-173.40674004057121</c:v>
                </c:pt>
                <c:pt idx="516">
                  <c:v>-173.43020467894959</c:v>
                </c:pt>
                <c:pt idx="517">
                  <c:v>-173.45352865476329</c:v>
                </c:pt>
                <c:pt idx="518">
                  <c:v>-173.4767132929469</c:v>
                </c:pt>
                <c:pt idx="519">
                  <c:v>-173.4997599019197</c:v>
                </c:pt>
                <c:pt idx="520">
                  <c:v>-173.52266977384087</c:v>
                </c:pt>
                <c:pt idx="521">
                  <c:v>-173.54544418486054</c:v>
                </c:pt>
                <c:pt idx="522">
                  <c:v>-173.56808439536533</c:v>
                </c:pt>
                <c:pt idx="523">
                  <c:v>-173.59059165022066</c:v>
                </c:pt>
                <c:pt idx="524">
                  <c:v>-173.61296717900714</c:v>
                </c:pt>
                <c:pt idx="525">
                  <c:v>-173.63521219625417</c:v>
                </c:pt>
                <c:pt idx="526">
                  <c:v>-173.657327901668</c:v>
                </c:pt>
                <c:pt idx="527">
                  <c:v>-173.67931548035645</c:v>
                </c:pt>
                <c:pt idx="528">
                  <c:v>-173.70117610304953</c:v>
                </c:pt>
                <c:pt idx="529">
                  <c:v>-173.72291092631556</c:v>
                </c:pt>
                <c:pt idx="530">
                  <c:v>-173.74452109277399</c:v>
                </c:pt>
                <c:pt idx="531">
                  <c:v>-173.76600773130431</c:v>
                </c:pt>
                <c:pt idx="532">
                  <c:v>-173.78737195725083</c:v>
                </c:pt>
                <c:pt idx="533">
                  <c:v>-173.80861487262419</c:v>
                </c:pt>
                <c:pt idx="534">
                  <c:v>-173.82973756629949</c:v>
                </c:pt>
                <c:pt idx="535">
                  <c:v>-173.85074111421019</c:v>
                </c:pt>
                <c:pt idx="536">
                  <c:v>-173.87162657953942</c:v>
                </c:pt>
                <c:pt idx="537">
                  <c:v>-173.89239501290737</c:v>
                </c:pt>
                <c:pt idx="538">
                  <c:v>-173.91304745255556</c:v>
                </c:pt>
                <c:pt idx="539">
                  <c:v>-173.93358492452805</c:v>
                </c:pt>
                <c:pt idx="540">
                  <c:v>-173.95400844284913</c:v>
                </c:pt>
                <c:pt idx="541">
                  <c:v>-173.97431900969835</c:v>
                </c:pt>
                <c:pt idx="542">
                  <c:v>-173.99451761558211</c:v>
                </c:pt>
                <c:pt idx="543">
                  <c:v>-174.01460523950266</c:v>
                </c:pt>
                <c:pt idx="544">
                  <c:v>-174.03458284912384</c:v>
                </c:pt>
                <c:pt idx="545">
                  <c:v>-174.05445140093425</c:v>
                </c:pt>
                <c:pt idx="546">
                  <c:v>-174.07421184040737</c:v>
                </c:pt>
                <c:pt idx="547">
                  <c:v>-174.09386510215933</c:v>
                </c:pt>
                <c:pt idx="548">
                  <c:v>-174.11341211010338</c:v>
                </c:pt>
                <c:pt idx="549">
                  <c:v>-174.13285377760252</c:v>
                </c:pt>
                <c:pt idx="550">
                  <c:v>-174.15219100761865</c:v>
                </c:pt>
                <c:pt idx="551">
                  <c:v>-174.17142469286009</c:v>
                </c:pt>
                <c:pt idx="552">
                  <c:v>-174.19055571592591</c:v>
                </c:pt>
                <c:pt idx="553">
                  <c:v>-174.20958494944821</c:v>
                </c:pt>
                <c:pt idx="554">
                  <c:v>-174.22851325623191</c:v>
                </c:pt>
                <c:pt idx="555">
                  <c:v>-174.2473414893922</c:v>
                </c:pt>
                <c:pt idx="556">
                  <c:v>-174.26607049248983</c:v>
                </c:pt>
                <c:pt idx="557">
                  <c:v>-174.28470109966366</c:v>
                </c:pt>
                <c:pt idx="558">
                  <c:v>-174.30323413576178</c:v>
                </c:pt>
                <c:pt idx="559">
                  <c:v>-174.32167041646991</c:v>
                </c:pt>
                <c:pt idx="560">
                  <c:v>-174.34001074843778</c:v>
                </c:pt>
                <c:pt idx="561">
                  <c:v>-174.35825592940347</c:v>
                </c:pt>
                <c:pt idx="562">
                  <c:v>-174.37640674831576</c:v>
                </c:pt>
                <c:pt idx="563">
                  <c:v>-174.39446398545456</c:v>
                </c:pt>
                <c:pt idx="564">
                  <c:v>-174.41242841254896</c:v>
                </c:pt>
                <c:pt idx="565">
                  <c:v>-174.43030079289392</c:v>
                </c:pt>
                <c:pt idx="566">
                  <c:v>-174.44808188146462</c:v>
                </c:pt>
                <c:pt idx="567">
                  <c:v>-174.46577242502929</c:v>
                </c:pt>
                <c:pt idx="568">
                  <c:v>-174.48337316225982</c:v>
                </c:pt>
                <c:pt idx="569">
                  <c:v>-174.50088482384109</c:v>
                </c:pt>
                <c:pt idx="570">
                  <c:v>-174.51830813257814</c:v>
                </c:pt>
                <c:pt idx="571">
                  <c:v>-174.53564380350178</c:v>
                </c:pt>
                <c:pt idx="572">
                  <c:v>-174.55289254397243</c:v>
                </c:pt>
                <c:pt idx="573">
                  <c:v>-174.57005505378251</c:v>
                </c:pt>
                <c:pt idx="574">
                  <c:v>-174.58713202525695</c:v>
                </c:pt>
                <c:pt idx="575">
                  <c:v>-174.60412414335229</c:v>
                </c:pt>
                <c:pt idx="576">
                  <c:v>-174.62103208575405</c:v>
                </c:pt>
                <c:pt idx="577">
                  <c:v>-174.6378565229727</c:v>
                </c:pt>
                <c:pt idx="578">
                  <c:v>-174.65459811843812</c:v>
                </c:pt>
                <c:pt idx="579">
                  <c:v>-174.67125752859243</c:v>
                </c:pt>
                <c:pt idx="580">
                  <c:v>-174.68783540298156</c:v>
                </c:pt>
                <c:pt idx="581">
                  <c:v>-174.70433238434524</c:v>
                </c:pt>
                <c:pt idx="582">
                  <c:v>-174.7207491087056</c:v>
                </c:pt>
                <c:pt idx="583">
                  <c:v>-174.73708620545452</c:v>
                </c:pt>
                <c:pt idx="584">
                  <c:v>-174.75334429743953</c:v>
                </c:pt>
                <c:pt idx="585">
                  <c:v>-174.76952400104841</c:v>
                </c:pt>
                <c:pt idx="586">
                  <c:v>-174.78562592629228</c:v>
                </c:pt>
                <c:pt idx="587">
                  <c:v>-174.8016506768879</c:v>
                </c:pt>
                <c:pt idx="588">
                  <c:v>-174.81759885033824</c:v>
                </c:pt>
                <c:pt idx="589">
                  <c:v>-174.83347103801194</c:v>
                </c:pt>
                <c:pt idx="590">
                  <c:v>-174.84926782522172</c:v>
                </c:pt>
                <c:pt idx="591">
                  <c:v>-174.86498979130135</c:v>
                </c:pt>
                <c:pt idx="592">
                  <c:v>-174.88063750968183</c:v>
                </c:pt>
                <c:pt idx="593">
                  <c:v>-174.89621154796572</c:v>
                </c:pt>
                <c:pt idx="594">
                  <c:v>-174.91171246800133</c:v>
                </c:pt>
                <c:pt idx="595">
                  <c:v>-174.92714082595467</c:v>
                </c:pt>
                <c:pt idx="596">
                  <c:v>-174.94249717238148</c:v>
                </c:pt>
                <c:pt idx="597">
                  <c:v>-174.95778205229715</c:v>
                </c:pt>
                <c:pt idx="598">
                  <c:v>-174.97299600524624</c:v>
                </c:pt>
                <c:pt idx="599">
                  <c:v>-174.98813956537077</c:v>
                </c:pt>
                <c:pt idx="600">
                  <c:v>-175.00321326147741</c:v>
                </c:pt>
                <c:pt idx="601">
                  <c:v>-175.0182176171038</c:v>
                </c:pt>
                <c:pt idx="602">
                  <c:v>-175.03315315058376</c:v>
                </c:pt>
                <c:pt idx="603">
                  <c:v>-175.04802037511175</c:v>
                </c:pt>
                <c:pt idx="604">
                  <c:v>-175.062819798806</c:v>
                </c:pt>
                <c:pt idx="605">
                  <c:v>-175.07755192477126</c:v>
                </c:pt>
                <c:pt idx="606">
                  <c:v>-175.73817782672191</c:v>
                </c:pt>
                <c:pt idx="607">
                  <c:v>-176.27968091797206</c:v>
                </c:pt>
                <c:pt idx="608">
                  <c:v>-176.73433464492658</c:v>
                </c:pt>
                <c:pt idx="609">
                  <c:v>-177.12373237625056</c:v>
                </c:pt>
                <c:pt idx="610">
                  <c:v>-177.46286351573877</c:v>
                </c:pt>
                <c:pt idx="611">
                  <c:v>-177.76245674196997</c:v>
                </c:pt>
                <c:pt idx="612">
                  <c:v>-178.03039235574522</c:v>
                </c:pt>
                <c:pt idx="613">
                  <c:v>-178.27258811452728</c:v>
                </c:pt>
                <c:pt idx="614">
                  <c:v>-178.49357402199863</c:v>
                </c:pt>
                <c:pt idx="615">
                  <c:v>-178.69687638436284</c:v>
                </c:pt>
                <c:pt idx="616">
                  <c:v>-178.88528106993761</c:v>
                </c:pt>
                <c:pt idx="617">
                  <c:v>-179.0610180722833</c:v>
                </c:pt>
                <c:pt idx="618">
                  <c:v>-179.14411196643789</c:v>
                </c:pt>
                <c:pt idx="619">
                  <c:v>-179.22495803940589</c:v>
                </c:pt>
                <c:pt idx="620">
                  <c:v>-179.30368343587489</c:v>
                </c:pt>
                <c:pt idx="621">
                  <c:v>-179.38040588801991</c:v>
                </c:pt>
                <c:pt idx="622">
                  <c:v>-179.45523457050328</c:v>
                </c:pt>
                <c:pt idx="623">
                  <c:v>-179.52827086395195</c:v>
                </c:pt>
                <c:pt idx="624">
                  <c:v>-179.5996090381401</c:v>
                </c:pt>
                <c:pt idx="625">
                  <c:v>-179.66933686455835</c:v>
                </c:pt>
                <c:pt idx="626">
                  <c:v>-179.73753616673824</c:v>
                </c:pt>
                <c:pt idx="627">
                  <c:v>-179.80428331558898</c:v>
                </c:pt>
                <c:pt idx="628">
                  <c:v>-179.86964967604891</c:v>
                </c:pt>
                <c:pt idx="629">
                  <c:v>-179.93370201054537</c:v>
                </c:pt>
                <c:pt idx="630">
                  <c:v>-179.99650284405647</c:v>
                </c:pt>
                <c:pt idx="631">
                  <c:v>-180.05811079497258</c:v>
                </c:pt>
                <c:pt idx="632">
                  <c:v>-180.11858087543661</c:v>
                </c:pt>
                <c:pt idx="633">
                  <c:v>-180.17796476439855</c:v>
                </c:pt>
                <c:pt idx="634">
                  <c:v>-180.23631105623244</c:v>
                </c:pt>
                <c:pt idx="635">
                  <c:v>-180.29366548742976</c:v>
                </c:pt>
                <c:pt idx="636">
                  <c:v>-180.35007114359226</c:v>
                </c:pt>
                <c:pt idx="637">
                  <c:v>-180.40556864869197</c:v>
                </c:pt>
                <c:pt idx="638">
                  <c:v>-180.46019633834669</c:v>
                </c:pt>
                <c:pt idx="639">
                  <c:v>-180.51399041866338</c:v>
                </c:pt>
                <c:pt idx="640">
                  <c:v>-180.56698511203271</c:v>
                </c:pt>
                <c:pt idx="641">
                  <c:v>-180.61921279110823</c:v>
                </c:pt>
                <c:pt idx="642">
                  <c:v>-180.6707041020727</c:v>
                </c:pt>
                <c:pt idx="643">
                  <c:v>-180.72148807817709</c:v>
                </c:pt>
                <c:pt idx="644">
                  <c:v>-180.77159224443687</c:v>
                </c:pt>
                <c:pt idx="645">
                  <c:v>-180.82104271427792</c:v>
                </c:pt>
                <c:pt idx="646">
                  <c:v>-180.86986427884585</c:v>
                </c:pt>
                <c:pt idx="647">
                  <c:v>-180.91808048961965</c:v>
                </c:pt>
                <c:pt idx="648">
                  <c:v>-180.96571373490838</c:v>
                </c:pt>
                <c:pt idx="649">
                  <c:v>-181.01278531075278</c:v>
                </c:pt>
                <c:pt idx="650">
                  <c:v>-181.05931548670375</c:v>
                </c:pt>
                <c:pt idx="651">
                  <c:v>-181.10532356690365</c:v>
                </c:pt>
                <c:pt idx="652">
                  <c:v>-181.15082794685776</c:v>
                </c:pt>
                <c:pt idx="653">
                  <c:v>-181.19584616624675</c:v>
                </c:pt>
                <c:pt idx="654">
                  <c:v>-181.2403949580976</c:v>
                </c:pt>
                <c:pt idx="655">
                  <c:v>-181.28449029460342</c:v>
                </c:pt>
                <c:pt idx="656">
                  <c:v>-181.32814742985528</c:v>
                </c:pt>
                <c:pt idx="657">
                  <c:v>-181.37138093972624</c:v>
                </c:pt>
                <c:pt idx="658">
                  <c:v>-181.41420475912639</c:v>
                </c:pt>
                <c:pt idx="659">
                  <c:v>-181.45663221682892</c:v>
                </c:pt>
                <c:pt idx="660">
                  <c:v>-181.49867606805023</c:v>
                </c:pt>
                <c:pt idx="661">
                  <c:v>-181.54034852495096</c:v>
                </c:pt>
                <c:pt idx="662">
                  <c:v>-181.58166128521111</c:v>
                </c:pt>
                <c:pt idx="663">
                  <c:v>-181.62262555881986</c:v>
                </c:pt>
                <c:pt idx="664">
                  <c:v>-181.66325209320865</c:v>
                </c:pt>
                <c:pt idx="665">
                  <c:v>-181.70355119684601</c:v>
                </c:pt>
                <c:pt idx="666">
                  <c:v>-181.74353276140261</c:v>
                </c:pt>
                <c:pt idx="667">
                  <c:v>-181.783206282587</c:v>
                </c:pt>
              </c:numCache>
            </c:numRef>
          </c:yVal>
          <c:smooth val="0"/>
          <c:extLst>
            <c:ext xmlns:c16="http://schemas.microsoft.com/office/drawing/2014/chart" uri="{C3380CC4-5D6E-409C-BE32-E72D297353CC}">
              <c16:uniqueId val="{0000000D-D84C-4E31-8C1B-AB1C7F1082B0}"/>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D84C-4E31-8C1B-AB1C7F1082B0}"/>
              </c:ext>
            </c:extLst>
          </c:dPt>
          <c:xVal>
            <c:numRef>
              <c:f>'Bode Plots Calculations'!$B$690:$B$691</c:f>
              <c:numCache>
                <c:formatCode>General</c:formatCode>
                <c:ptCount val="2"/>
                <c:pt idx="0">
                  <c:v>48</c:v>
                </c:pt>
                <c:pt idx="1">
                  <c:v>48</c:v>
                </c:pt>
              </c:numCache>
            </c:numRef>
          </c:xVal>
          <c:yVal>
            <c:numRef>
              <c:f>'Bode Plots Calculations'!$BG$690:$BG$691</c:f>
              <c:numCache>
                <c:formatCode>General</c:formatCode>
                <c:ptCount val="2"/>
                <c:pt idx="0">
                  <c:v>-98.575076371058174</c:v>
                </c:pt>
                <c:pt idx="1">
                  <c:v>-90</c:v>
                </c:pt>
              </c:numCache>
            </c:numRef>
          </c:yVal>
          <c:smooth val="0"/>
          <c:extLst>
            <c:ext xmlns:c16="http://schemas.microsoft.com/office/drawing/2014/chart" uri="{C3380CC4-5D6E-409C-BE32-E72D297353CC}">
              <c16:uniqueId val="{0000000F-D84C-4E31-8C1B-AB1C7F1082B0}"/>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48</c:v>
                </c:pt>
                <c:pt idx="1">
                  <c:v>1000</c:v>
                </c:pt>
              </c:numCache>
            </c:numRef>
          </c:xVal>
          <c:yVal>
            <c:numRef>
              <c:f>'Bode Plots Calculations'!$BG$688:$BG$689</c:f>
              <c:numCache>
                <c:formatCode>General</c:formatCode>
                <c:ptCount val="2"/>
                <c:pt idx="0">
                  <c:v>-98.575076371058174</c:v>
                </c:pt>
                <c:pt idx="1">
                  <c:v>-98.575076371058174</c:v>
                </c:pt>
              </c:numCache>
            </c:numRef>
          </c:yVal>
          <c:smooth val="0"/>
          <c:extLst>
            <c:ext xmlns:c16="http://schemas.microsoft.com/office/drawing/2014/chart" uri="{C3380CC4-5D6E-409C-BE32-E72D297353CC}">
              <c16:uniqueId val="{00000010-D84C-4E31-8C1B-AB1C7F1082B0}"/>
            </c:ext>
          </c:extLst>
        </c:ser>
        <c:dLbls>
          <c:showLegendKey val="0"/>
          <c:showVal val="0"/>
          <c:showCatName val="0"/>
          <c:showSerName val="0"/>
          <c:showPercent val="0"/>
          <c:showBubbleSize val="0"/>
        </c:dLbls>
        <c:axId val="134221184"/>
        <c:axId val="134247552"/>
      </c:scatterChart>
      <c:valAx>
        <c:axId val="132570496"/>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zh-CN"/>
          </a:p>
        </c:txPr>
        <c:crossAx val="134219264"/>
        <c:crossesAt val="-80"/>
        <c:crossBetween val="midCat"/>
      </c:valAx>
      <c:valAx>
        <c:axId val="134219264"/>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zh-CN"/>
          </a:p>
        </c:txPr>
        <c:crossAx val="132570496"/>
        <c:crossesAt val="1"/>
        <c:crossBetween val="midCat"/>
        <c:majorUnit val="10"/>
      </c:valAx>
      <c:valAx>
        <c:axId val="134221184"/>
        <c:scaling>
          <c:logBase val="10"/>
          <c:orientation val="minMax"/>
        </c:scaling>
        <c:delete val="1"/>
        <c:axPos val="b"/>
        <c:numFmt formatCode="General" sourceLinked="1"/>
        <c:majorTickMark val="out"/>
        <c:minorTickMark val="none"/>
        <c:tickLblPos val="none"/>
        <c:crossAx val="134247552"/>
        <c:crosses val="autoZero"/>
        <c:crossBetween val="midCat"/>
      </c:valAx>
      <c:valAx>
        <c:axId val="134247552"/>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zh-CN"/>
          </a:p>
        </c:txPr>
        <c:crossAx val="13422118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zh-CN"/>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zh-CN"/>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zh-CN"/>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zh-CN"/>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Calculations'!$AU$9:$AU$209</c:f>
              <c:numCache>
                <c:formatCode>General</c:formatCode>
                <c:ptCount val="201"/>
                <c:pt idx="0">
                  <c:v>0</c:v>
                </c:pt>
                <c:pt idx="1">
                  <c:v>33.413906689191307</c:v>
                </c:pt>
                <c:pt idx="2">
                  <c:v>50.037677556913863</c:v>
                </c:pt>
                <c:pt idx="3">
                  <c:v>59.983082059386263</c:v>
                </c:pt>
                <c:pt idx="4">
                  <c:v>66.599706925544112</c:v>
                </c:pt>
                <c:pt idx="5">
                  <c:v>71.317979988142227</c:v>
                </c:pt>
                <c:pt idx="6">
                  <c:v>74.851445149634301</c:v>
                </c:pt>
                <c:pt idx="7">
                  <c:v>77.595857612622382</c:v>
                </c:pt>
                <c:pt idx="8">
                  <c:v>79.788374893522601</c:v>
                </c:pt>
                <c:pt idx="9">
                  <c:v>81.57976901859908</c:v>
                </c:pt>
                <c:pt idx="10">
                  <c:v>83.070476462869266</c:v>
                </c:pt>
                <c:pt idx="11">
                  <c:v>84.329985769962363</c:v>
                </c:pt>
                <c:pt idx="12">
                  <c:v>85.407905117026289</c:v>
                </c:pt>
                <c:pt idx="13">
                  <c:v>86.340597346775652</c:v>
                </c:pt>
                <c:pt idx="14">
                  <c:v>87.155323961126598</c:v>
                </c:pt>
                <c:pt idx="15">
                  <c:v>87.872924923767272</c:v>
                </c:pt>
                <c:pt idx="16">
                  <c:v>88.509604269428095</c:v>
                </c:pt>
                <c:pt idx="17">
                  <c:v>89.078151282929269</c:v>
                </c:pt>
                <c:pt idx="18">
                  <c:v>89.588794982830095</c:v>
                </c:pt>
                <c:pt idx="19">
                  <c:v>90.049814250045884</c:v>
                </c:pt>
                <c:pt idx="20">
                  <c:v>90.467981416676864</c:v>
                </c:pt>
                <c:pt idx="21">
                  <c:v>90.848890042172513</c:v>
                </c:pt>
                <c:pt idx="22">
                  <c:v>91.197200681774888</c:v>
                </c:pt>
                <c:pt idx="23">
                  <c:v>91.516827626531864</c:v>
                </c:pt>
                <c:pt idx="24">
                  <c:v>91.811082518549014</c:v>
                </c:pt>
                <c:pt idx="25">
                  <c:v>92.082786029696265</c:v>
                </c:pt>
                <c:pt idx="26">
                  <c:v>92.334355593222867</c:v>
                </c:pt>
                <c:pt idx="27">
                  <c:v>92.567874972330188</c:v>
                </c:pt>
                <c:pt idx="28">
                  <c:v>92.785149906379601</c:v>
                </c:pt>
                <c:pt idx="29">
                  <c:v>92.987752980386546</c:v>
                </c:pt>
                <c:pt idx="30">
                  <c:v>93.177060076580304</c:v>
                </c:pt>
                <c:pt idx="31">
                  <c:v>93.354280194661115</c:v>
                </c:pt>
                <c:pt idx="32">
                  <c:v>93.51079375577298</c:v>
                </c:pt>
                <c:pt idx="33">
                  <c:v>93.648902103118814</c:v>
                </c:pt>
                <c:pt idx="34">
                  <c:v>93.781765808533692</c:v>
                </c:pt>
                <c:pt idx="35">
                  <c:v>93.909824661842066</c:v>
                </c:pt>
                <c:pt idx="36">
                  <c:v>94.033471094141518</c:v>
                </c:pt>
                <c:pt idx="37">
                  <c:v>94.153056393268358</c:v>
                </c:pt>
                <c:pt idx="38">
                  <c:v>94.268895965468687</c:v>
                </c:pt>
                <c:pt idx="39">
                  <c:v>94.381273809776204</c:v>
                </c:pt>
                <c:pt idx="40">
                  <c:v>94.490446339187557</c:v>
                </c:pt>
                <c:pt idx="41">
                  <c:v>94.583473885748447</c:v>
                </c:pt>
                <c:pt idx="42">
                  <c:v>94.67076205093295</c:v>
                </c:pt>
                <c:pt idx="43">
                  <c:v>94.75370645802667</c:v>
                </c:pt>
                <c:pt idx="44">
                  <c:v>94.83259085944556</c:v>
                </c:pt>
                <c:pt idx="45">
                  <c:v>94.907674765316429</c:v>
                </c:pt>
                <c:pt idx="46">
                  <c:v>94.979195977102265</c:v>
                </c:pt>
                <c:pt idx="47">
                  <c:v>95.047372809971733</c:v>
                </c:pt>
                <c:pt idx="48">
                  <c:v>95.112406047628554</c:v>
                </c:pt>
                <c:pt idx="49">
                  <c:v>95.174480666436892</c:v>
                </c:pt>
                <c:pt idx="50">
                  <c:v>95.233767359995269</c:v>
                </c:pt>
                <c:pt idx="51">
                  <c:v>95.290423890594084</c:v>
                </c:pt>
                <c:pt idx="52">
                  <c:v>95.344596290064487</c:v>
                </c:pt>
                <c:pt idx="53">
                  <c:v>95.396419929243052</c:v>
                </c:pt>
                <c:pt idx="54">
                  <c:v>95.446020472521681</c:v>
                </c:pt>
                <c:pt idx="55">
                  <c:v>95.493514731635358</c:v>
                </c:pt>
                <c:pt idx="56">
                  <c:v>95.539011430881757</c:v>
                </c:pt>
                <c:pt idx="57">
                  <c:v>95.58261189430975</c:v>
                </c:pt>
                <c:pt idx="58">
                  <c:v>95.624410664004344</c:v>
                </c:pt>
                <c:pt idx="59">
                  <c:v>95.66449605739605</c:v>
                </c:pt>
                <c:pt idx="60">
                  <c:v>95.702950670496577</c:v>
                </c:pt>
                <c:pt idx="61">
                  <c:v>95.739851833084629</c:v>
                </c:pt>
                <c:pt idx="62">
                  <c:v>95.775272021109814</c:v>
                </c:pt>
                <c:pt idx="63">
                  <c:v>95.809279230934081</c:v>
                </c:pt>
                <c:pt idx="64">
                  <c:v>95.841937319467306</c:v>
                </c:pt>
                <c:pt idx="65">
                  <c:v>95.873306313769206</c:v>
                </c:pt>
                <c:pt idx="66">
                  <c:v>95.903442693268047</c:v>
                </c:pt>
                <c:pt idx="67">
                  <c:v>95.932399647380777</c:v>
                </c:pt>
                <c:pt idx="68">
                  <c:v>95.960227310999528</c:v>
                </c:pt>
                <c:pt idx="69">
                  <c:v>95.98697298003232</c:v>
                </c:pt>
                <c:pt idx="70">
                  <c:v>96.012681308940842</c:v>
                </c:pt>
                <c:pt idx="71">
                  <c:v>96.037394492005632</c:v>
                </c:pt>
                <c:pt idx="72">
                  <c:v>96.061152429861352</c:v>
                </c:pt>
                <c:pt idx="73">
                  <c:v>96.083992882679667</c:v>
                </c:pt>
                <c:pt idx="74">
                  <c:v>96.105951611232328</c:v>
                </c:pt>
                <c:pt idx="75">
                  <c:v>96.127062506938415</c:v>
                </c:pt>
                <c:pt idx="76">
                  <c:v>96.147357711886343</c:v>
                </c:pt>
                <c:pt idx="77">
                  <c:v>96.16686772972092</c:v>
                </c:pt>
                <c:pt idx="78">
                  <c:v>96.185621528196037</c:v>
                </c:pt>
                <c:pt idx="79">
                  <c:v>96.203646634114961</c:v>
                </c:pt>
                <c:pt idx="80">
                  <c:v>96.220969221309161</c:v>
                </c:pt>
                <c:pt idx="81">
                  <c:v>96.237614192243967</c:v>
                </c:pt>
                <c:pt idx="82">
                  <c:v>96.253605253782936</c:v>
                </c:pt>
                <c:pt idx="83">
                  <c:v>96.268964987593392</c:v>
                </c:pt>
                <c:pt idx="84">
                  <c:v>96.283714915629432</c:v>
                </c:pt>
                <c:pt idx="85">
                  <c:v>96.297875561089825</c:v>
                </c:pt>
                <c:pt idx="86">
                  <c:v>96.311466505210817</c:v>
                </c:pt>
                <c:pt idx="87">
                  <c:v>96.324506440222663</c:v>
                </c:pt>
                <c:pt idx="88">
                  <c:v>96.337013218767922</c:v>
                </c:pt>
                <c:pt idx="89">
                  <c:v>96.34900390005518</c:v>
                </c:pt>
                <c:pt idx="90">
                  <c:v>96.360494792996036</c:v>
                </c:pt>
                <c:pt idx="91">
                  <c:v>96.371501496553464</c:v>
                </c:pt>
                <c:pt idx="92">
                  <c:v>96.382038937509279</c:v>
                </c:pt>
                <c:pt idx="93">
                  <c:v>96.39212140584111</c:v>
                </c:pt>
                <c:pt idx="94">
                  <c:v>96.401762587883795</c:v>
                </c:pt>
                <c:pt idx="95">
                  <c:v>96.410975597434884</c:v>
                </c:pt>
                <c:pt idx="96">
                  <c:v>96.419773004951765</c:v>
                </c:pt>
                <c:pt idx="97">
                  <c:v>96.428166864975154</c:v>
                </c:pt>
                <c:pt idx="98">
                  <c:v>96.436168741903586</c:v>
                </c:pt>
                <c:pt idx="99">
                  <c:v>96.443789734233263</c:v>
                </c:pt>
                <c:pt idx="100">
                  <c:v>96.451040497368695</c:v>
                </c:pt>
                <c:pt idx="101">
                  <c:v>96.457931265101294</c:v>
                </c:pt>
                <c:pt idx="102">
                  <c:v>96.464471869846079</c:v>
                </c:pt>
                <c:pt idx="103">
                  <c:v>96.470671761718933</c:v>
                </c:pt>
                <c:pt idx="104">
                  <c:v>96.47654002653131</c:v>
                </c:pt>
                <c:pt idx="105">
                  <c:v>96.482085402773393</c:v>
                </c:pt>
                <c:pt idx="106">
                  <c:v>96.487316297651091</c:v>
                </c:pt>
                <c:pt idx="107">
                  <c:v>96.49224080223803</c:v>
                </c:pt>
                <c:pt idx="108">
                  <c:v>96.496866705798467</c:v>
                </c:pt>
                <c:pt idx="109">
                  <c:v>96.501201509334081</c:v>
                </c:pt>
                <c:pt idx="110">
                  <c:v>96.505252438402536</c:v>
                </c:pt>
                <c:pt idx="111">
                  <c:v>96.50902645525359</c:v>
                </c:pt>
                <c:pt idx="112">
                  <c:v>96.51253027032422</c:v>
                </c:pt>
                <c:pt idx="113">
                  <c:v>96.515770353131998</c:v>
                </c:pt>
                <c:pt idx="114">
                  <c:v>96.518752942603285</c:v>
                </c:pt>
                <c:pt idx="115">
                  <c:v>96.521484056869568</c:v>
                </c:pt>
                <c:pt idx="116">
                  <c:v>96.523969502564</c:v>
                </c:pt>
                <c:pt idx="117">
                  <c:v>96.526214883647341</c:v>
                </c:pt>
                <c:pt idx="118">
                  <c:v>96.528225609790823</c:v>
                </c:pt>
                <c:pt idx="119">
                  <c:v>96.530006904341505</c:v>
                </c:pt>
                <c:pt idx="120">
                  <c:v>96.531563811894188</c:v>
                </c:pt>
                <c:pt idx="121">
                  <c:v>96.532901205492308</c:v>
                </c:pt>
                <c:pt idx="122">
                  <c:v>96.534023793478454</c:v>
                </c:pt>
                <c:pt idx="123">
                  <c:v>96.534936126014841</c:v>
                </c:pt>
                <c:pt idx="124">
                  <c:v>96.535642601291144</c:v>
                </c:pt>
                <c:pt idx="125">
                  <c:v>96.536147471437616</c:v>
                </c:pt>
                <c:pt idx="126">
                  <c:v>96.53645484815948</c:v>
                </c:pt>
                <c:pt idx="127">
                  <c:v>96.536568708107367</c:v>
                </c:pt>
                <c:pt idx="128">
                  <c:v>96.536492897998556</c:v>
                </c:pt>
                <c:pt idx="129">
                  <c:v>96.53623113950178</c:v>
                </c:pt>
                <c:pt idx="130">
                  <c:v>96.535787033898572</c:v>
                </c:pt>
                <c:pt idx="131">
                  <c:v>96.535164066532644</c:v>
                </c:pt>
                <c:pt idx="132">
                  <c:v>96.53436561105832</c:v>
                </c:pt>
                <c:pt idx="133">
                  <c:v>96.533394933498869</c:v>
                </c:pt>
                <c:pt idx="134">
                  <c:v>96.532255196123714</c:v>
                </c:pt>
                <c:pt idx="135">
                  <c:v>96.530949461154762</c:v>
                </c:pt>
                <c:pt idx="136">
                  <c:v>96.529480694309484</c:v>
                </c:pt>
                <c:pt idx="137">
                  <c:v>96.527851768189734</c:v>
                </c:pt>
                <c:pt idx="138">
                  <c:v>96.5260654655237</c:v>
                </c:pt>
                <c:pt idx="139">
                  <c:v>96.524124482268135</c:v>
                </c:pt>
                <c:pt idx="140">
                  <c:v>96.522031430577911</c:v>
                </c:pt>
                <c:pt idx="141">
                  <c:v>96.519788841649529</c:v>
                </c:pt>
                <c:pt idx="142">
                  <c:v>96.517399168444157</c:v>
                </c:pt>
                <c:pt idx="143">
                  <c:v>96.514864788296606</c:v>
                </c:pt>
                <c:pt idx="144">
                  <c:v>96.512188005415325</c:v>
                </c:pt>
                <c:pt idx="145">
                  <c:v>96.509371053278642</c:v>
                </c:pt>
                <c:pt idx="146">
                  <c:v>96.506416096932185</c:v>
                </c:pt>
                <c:pt idx="147">
                  <c:v>96.50332523519215</c:v>
                </c:pt>
                <c:pt idx="148">
                  <c:v>96.500100502758542</c:v>
                </c:pt>
                <c:pt idx="149">
                  <c:v>96.496743872242931</c:v>
                </c:pt>
                <c:pt idx="150">
                  <c:v>96.493257256114234</c:v>
                </c:pt>
                <c:pt idx="151">
                  <c:v>96.489642508566504</c:v>
                </c:pt>
                <c:pt idx="152">
                  <c:v>96.485901427312243</c:v>
                </c:pt>
                <c:pt idx="153">
                  <c:v>96.482035755304224</c:v>
                </c:pt>
                <c:pt idx="154">
                  <c:v>96.478047182389659</c:v>
                </c:pt>
                <c:pt idx="155">
                  <c:v>96.473937346898964</c:v>
                </c:pt>
                <c:pt idx="156">
                  <c:v>96.469707837172507</c:v>
                </c:pt>
                <c:pt idx="157">
                  <c:v>96.465360193027891</c:v>
                </c:pt>
                <c:pt idx="158">
                  <c:v>96.460895907170197</c:v>
                </c:pt>
                <c:pt idx="159">
                  <c:v>96.456316426547843</c:v>
                </c:pt>
                <c:pt idx="160">
                  <c:v>96.4516231536563</c:v>
                </c:pt>
                <c:pt idx="161">
                  <c:v>96.446817447791673</c:v>
                </c:pt>
                <c:pt idx="162">
                  <c:v>96.44190062625681</c:v>
                </c:pt>
                <c:pt idx="163">
                  <c:v>96.436873965521045</c:v>
                </c:pt>
                <c:pt idx="164">
                  <c:v>96.43173870233646</c:v>
                </c:pt>
                <c:pt idx="165">
                  <c:v>96.426496034811649</c:v>
                </c:pt>
                <c:pt idx="166">
                  <c:v>96.421147123445195</c:v>
                </c:pt>
                <c:pt idx="167">
                  <c:v>96.415693092120307</c:v>
                </c:pt>
                <c:pt idx="168">
                  <c:v>96.410135029062289</c:v>
                </c:pt>
                <c:pt idx="169">
                  <c:v>96.404473987760042</c:v>
                </c:pt>
                <c:pt idx="170">
                  <c:v>96.398710987853448</c:v>
                </c:pt>
                <c:pt idx="171">
                  <c:v>96.392847015987641</c:v>
                </c:pt>
                <c:pt idx="172">
                  <c:v>96.386883026635545</c:v>
                </c:pt>
                <c:pt idx="173">
                  <c:v>96.380819942889985</c:v>
                </c:pt>
                <c:pt idx="174">
                  <c:v>96.374658657226391</c:v>
                </c:pt>
                <c:pt idx="175">
                  <c:v>96.368400032237403</c:v>
                </c:pt>
                <c:pt idx="176">
                  <c:v>96.36204490134017</c:v>
                </c:pt>
                <c:pt idx="177">
                  <c:v>96.355594069457737</c:v>
                </c:pt>
                <c:pt idx="178">
                  <c:v>96.349048313675013</c:v>
                </c:pt>
                <c:pt idx="179">
                  <c:v>96.342408383870705</c:v>
                </c:pt>
                <c:pt idx="180">
                  <c:v>96.335675003325733</c:v>
                </c:pt>
                <c:pt idx="181">
                  <c:v>96.328848869309226</c:v>
                </c:pt>
                <c:pt idx="182">
                  <c:v>96.321930653642823</c:v>
                </c:pt>
                <c:pt idx="183">
                  <c:v>96.314921003243896</c:v>
                </c:pt>
                <c:pt idx="184">
                  <c:v>96.307820540648663</c:v>
                </c:pt>
                <c:pt idx="185">
                  <c:v>96.300629864515798</c:v>
                </c:pt>
                <c:pt idx="186">
                  <c:v>96.293349550111117</c:v>
                </c:pt>
                <c:pt idx="187">
                  <c:v>96.285980149774105</c:v>
                </c:pt>
                <c:pt idx="188">
                  <c:v>96.27852219336684</c:v>
                </c:pt>
                <c:pt idx="189">
                  <c:v>96.270976188706001</c:v>
                </c:pt>
                <c:pt idx="190">
                  <c:v>96.263342621978211</c:v>
                </c:pt>
                <c:pt idx="191">
                  <c:v>96.255621958139628</c:v>
                </c:pt>
                <c:pt idx="192">
                  <c:v>96.247814641300138</c:v>
                </c:pt>
                <c:pt idx="193">
                  <c:v>96.239921095092527</c:v>
                </c:pt>
                <c:pt idx="194">
                  <c:v>96.231941723027248</c:v>
                </c:pt>
                <c:pt idx="195">
                  <c:v>96.223876908833191</c:v>
                </c:pt>
                <c:pt idx="196">
                  <c:v>96.215727016784868</c:v>
                </c:pt>
                <c:pt idx="197">
                  <c:v>96.207492392016306</c:v>
                </c:pt>
                <c:pt idx="198">
                  <c:v>96.1991733608224</c:v>
                </c:pt>
                <c:pt idx="199">
                  <c:v>96.190770230947564</c:v>
                </c:pt>
                <c:pt idx="200">
                  <c:v>96.18228329186249</c:v>
                </c:pt>
              </c:numCache>
            </c:numRef>
          </c:val>
          <c:smooth val="0"/>
          <c:extLst>
            <c:ext xmlns:c16="http://schemas.microsoft.com/office/drawing/2014/chart" uri="{C3380CC4-5D6E-409C-BE32-E72D297353CC}">
              <c16:uniqueId val="{00000000-98A2-4F00-B92B-92E63858A880}"/>
            </c:ext>
          </c:extLst>
        </c:ser>
        <c:dLbls>
          <c:showLegendKey val="0"/>
          <c:showVal val="0"/>
          <c:showCatName val="0"/>
          <c:showSerName val="0"/>
          <c:showPercent val="0"/>
          <c:showBubbleSize val="0"/>
        </c:dLbls>
        <c:marker val="1"/>
        <c:smooth val="0"/>
        <c:axId val="140441472"/>
        <c:axId val="140447744"/>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Calculations'!$Q$9:$Q$209</c:f>
              <c:numCache>
                <c:formatCode>0.0000</c:formatCode>
                <c:ptCount val="201"/>
                <c:pt idx="0">
                  <c:v>0.52670880103452655</c:v>
                </c:pt>
                <c:pt idx="1">
                  <c:v>0.52676210012878799</c:v>
                </c:pt>
                <c:pt idx="2">
                  <c:v>0.52691583016615073</c:v>
                </c:pt>
                <c:pt idx="3">
                  <c:v>0.52716999854174118</c:v>
                </c:pt>
                <c:pt idx="4">
                  <c:v>0.52752461748283186</c:v>
                </c:pt>
                <c:pt idx="5">
                  <c:v>0.52797970405031225</c:v>
                </c:pt>
                <c:pt idx="6">
                  <c:v>0.52853528014074069</c:v>
                </c:pt>
                <c:pt idx="7">
                  <c:v>0.52919137248897874</c:v>
                </c:pt>
                <c:pt idx="8">
                  <c:v>0.52994801267140834</c:v>
                </c:pt>
                <c:pt idx="9">
                  <c:v>0.53080523710973126</c:v>
                </c:pt>
                <c:pt idx="10">
                  <c:v>0.53176308707535436</c:v>
                </c:pt>
                <c:pt idx="11">
                  <c:v>0.53282160869435846</c:v>
                </c:pt>
                <c:pt idx="12">
                  <c:v>0.53398085295305486</c:v>
                </c:pt>
                <c:pt idx="13">
                  <c:v>0.53524087570412837</c:v>
                </c:pt>
                <c:pt idx="14">
                  <c:v>0.53660173767336983</c:v>
                </c:pt>
                <c:pt idx="15">
                  <c:v>0.53806350446699891</c:v>
                </c:pt>
                <c:pt idx="16">
                  <c:v>0.53962624657957936</c:v>
                </c:pt>
                <c:pt idx="17">
                  <c:v>0.54129003940252729</c:v>
                </c:pt>
                <c:pt idx="18">
                  <c:v>0.54305496323321623</c:v>
                </c:pt>
                <c:pt idx="19">
                  <c:v>0.5449211032846798</c:v>
                </c:pt>
                <c:pt idx="20">
                  <c:v>0.54688854969591383</c:v>
                </c:pt>
                <c:pt idx="21">
                  <c:v>0.54895739754278128</c:v>
                </c:pt>
                <c:pt idx="22">
                  <c:v>0.55112774684952248</c:v>
                </c:pt>
                <c:pt idx="23">
                  <c:v>0.55339970260087235</c:v>
                </c:pt>
                <c:pt idx="24">
                  <c:v>0.55577337475478727</c:v>
                </c:pt>
                <c:pt idx="25">
                  <c:v>0.55824887825578617</c:v>
                </c:pt>
                <c:pt idx="26">
                  <c:v>0.56082633304890717</c:v>
                </c:pt>
                <c:pt idx="27">
                  <c:v>0.56350586409428327</c:v>
                </c:pt>
                <c:pt idx="28">
                  <c:v>0.56628760138234124</c:v>
                </c:pt>
                <c:pt idx="29">
                  <c:v>0.56917167994962592</c:v>
                </c:pt>
                <c:pt idx="30">
                  <c:v>0.57215823989525472</c:v>
                </c:pt>
                <c:pt idx="31">
                  <c:v>0.57524742639800541</c:v>
                </c:pt>
                <c:pt idx="32">
                  <c:v>0.57843938973404141</c:v>
                </c:pt>
                <c:pt idx="33">
                  <c:v>0.5817342852952776</c:v>
                </c:pt>
                <c:pt idx="34">
                  <c:v>0.58513227360839337</c:v>
                </c:pt>
                <c:pt idx="35">
                  <c:v>0.58863352035449423</c:v>
                </c:pt>
                <c:pt idx="36">
                  <c:v>0.59223819638942832</c:v>
                </c:pt>
                <c:pt idx="37">
                  <c:v>0.59594647776476228</c:v>
                </c:pt>
                <c:pt idx="38">
                  <c:v>0.59975854574942145</c:v>
                </c:pt>
                <c:pt idx="39">
                  <c:v>0.60367458685199815</c:v>
                </c:pt>
                <c:pt idx="40">
                  <c:v>0.60769479284373484</c:v>
                </c:pt>
                <c:pt idx="41">
                  <c:v>0.61181936078218668</c:v>
                </c:pt>
                <c:pt idx="42">
                  <c:v>0.61604849303556897</c:v>
                </c:pt>
                <c:pt idx="43">
                  <c:v>0.62038239730779554</c:v>
                </c:pt>
                <c:pt idx="44">
                  <c:v>0.62482128666421255</c:v>
                </c:pt>
                <c:pt idx="45">
                  <c:v>0.62936537955803651</c:v>
                </c:pt>
                <c:pt idx="46">
                  <c:v>0.63401489985749959</c:v>
                </c:pt>
                <c:pt idx="47">
                  <c:v>0.63877007687371057</c:v>
                </c:pt>
                <c:pt idx="48">
                  <c:v>0.64363114538923694</c:v>
                </c:pt>
                <c:pt idx="49">
                  <c:v>0.64859834568741603</c:v>
                </c:pt>
                <c:pt idx="50">
                  <c:v>0.65367192358240001</c:v>
                </c:pt>
                <c:pt idx="51">
                  <c:v>0.65885213044994495</c:v>
                </c:pt>
                <c:pt idx="52">
                  <c:v>0.66413922325894814</c:v>
                </c:pt>
                <c:pt idx="53">
                  <c:v>0.6695334646037423</c:v>
                </c:pt>
                <c:pt idx="54">
                  <c:v>0.67503512273715582</c:v>
                </c:pt>
                <c:pt idx="55">
                  <c:v>0.68064447160434449</c:v>
                </c:pt>
                <c:pt idx="56">
                  <c:v>0.68636179087740412</c:v>
                </c:pt>
                <c:pt idx="57">
                  <c:v>0.69218736599077202</c:v>
                </c:pt>
                <c:pt idx="58">
                  <c:v>0.69812148817742659</c:v>
                </c:pt>
                <c:pt idx="59">
                  <c:v>0.70416445450589216</c:v>
                </c:pt>
                <c:pt idx="60">
                  <c:v>0.71031656791805942</c:v>
                </c:pt>
                <c:pt idx="61">
                  <c:v>0.71657813726782993</c:v>
                </c:pt>
                <c:pt idx="62">
                  <c:v>0.72294947736059401</c:v>
                </c:pt>
                <c:pt idx="63">
                  <c:v>0.72943090899355179</c:v>
                </c:pt>
                <c:pt idx="64">
                  <c:v>0.73602275899688774</c:v>
                </c:pt>
                <c:pt idx="65">
                  <c:v>0.74272536027580738</c:v>
                </c:pt>
                <c:pt idx="66">
                  <c:v>0.74953905185344771</c:v>
                </c:pt>
                <c:pt idx="67">
                  <c:v>0.75646417891467144</c:v>
                </c:pt>
                <c:pt idx="68">
                  <c:v>0.76350109285075596</c:v>
                </c:pt>
                <c:pt idx="69">
                  <c:v>0.77065015130498693</c:v>
                </c:pt>
                <c:pt idx="70">
                  <c:v>0.77791171821917082</c:v>
                </c:pt>
                <c:pt idx="71">
                  <c:v>0.78528616388107308</c:v>
                </c:pt>
                <c:pt idx="72">
                  <c:v>0.79277386497279934</c:v>
                </c:pt>
                <c:pt idx="73">
                  <c:v>0.80037520462012646</c:v>
                </c:pt>
                <c:pt idx="74">
                  <c:v>0.80809057244280058</c:v>
                </c:pt>
                <c:pt idx="75">
                  <c:v>0.81592036460580997</c:v>
                </c:pt>
                <c:pt idx="76">
                  <c:v>0.82386498387164986</c:v>
                </c:pt>
                <c:pt idx="77">
                  <c:v>0.83192483965359065</c:v>
                </c:pt>
                <c:pt idx="78">
                  <c:v>0.84010034806996159</c:v>
                </c:pt>
                <c:pt idx="79">
                  <c:v>0.84839193199946583</c:v>
                </c:pt>
                <c:pt idx="80">
                  <c:v>0.8568000211375415</c:v>
                </c:pt>
                <c:pt idx="81">
                  <c:v>0.86532505205378007</c:v>
                </c:pt>
                <c:pt idx="82">
                  <c:v>0.87396746825041838</c:v>
                </c:pt>
                <c:pt idx="83">
                  <c:v>0.88272772022192325</c:v>
                </c:pt>
                <c:pt idx="84">
                  <c:v>0.89160626551567623</c:v>
                </c:pt>
                <c:pt idx="85">
                  <c:v>0.90060356879377901</c:v>
                </c:pt>
                <c:pt idx="86">
                  <c:v>0.90972010189599772</c:v>
                </c:pt>
                <c:pt idx="87">
                  <c:v>0.91895634390385827</c:v>
                </c:pt>
                <c:pt idx="88">
                  <c:v>0.92831278120590999</c:v>
                </c:pt>
                <c:pt idx="89">
                  <c:v>0.93778990756417624</c:v>
                </c:pt>
                <c:pt idx="90">
                  <c:v>0.94738822418181101</c:v>
                </c:pt>
                <c:pt idx="91">
                  <c:v>0.95710823977197479</c:v>
                </c:pt>
                <c:pt idx="92">
                  <c:v>0.96695047062795236</c:v>
                </c:pt>
                <c:pt idx="93">
                  <c:v>0.97691544069452796</c:v>
                </c:pt>
                <c:pt idx="94">
                  <c:v>0.98700368164064045</c:v>
                </c:pt>
                <c:pt idx="95">
                  <c:v>0.99721573293333499</c:v>
                </c:pt>
                <c:pt idx="96">
                  <c:v>1.0075521419130302</c:v>
                </c:pt>
                <c:pt idx="97">
                  <c:v>1.018013463870127</c:v>
                </c:pt>
                <c:pt idx="98">
                  <c:v>1.0286002621229731</c:v>
                </c:pt>
                <c:pt idx="99">
                  <c:v>1.0393131080972076</c:v>
                </c:pt>
                <c:pt idx="100">
                  <c:v>1.050152581406508</c:v>
                </c:pt>
                <c:pt idx="101">
                  <c:v>1.0611192699347611</c:v>
                </c:pt>
                <c:pt idx="102">
                  <c:v>1.0722137699196792</c:v>
                </c:pt>
                <c:pt idx="103">
                  <c:v>1.0834366860378846</c:v>
                </c:pt>
                <c:pt idx="104">
                  <c:v>1.0947886314914919</c:v>
                </c:pt>
                <c:pt idx="105">
                  <c:v>1.1062702280962018</c:v>
                </c:pt>
                <c:pt idx="106">
                  <c:v>1.1178821063709412</c:v>
                </c:pt>
                <c:pt idx="107">
                  <c:v>1.129624905629067</c:v>
                </c:pt>
                <c:pt idx="108">
                  <c:v>1.1414992740711676</c:v>
                </c:pt>
                <c:pt idx="109">
                  <c:v>1.1535058688794768</c:v>
                </c:pt>
                <c:pt idx="110">
                  <c:v>1.1656453563139402</c:v>
                </c:pt>
                <c:pt idx="111">
                  <c:v>1.1779184118099515</c:v>
                </c:pt>
                <c:pt idx="112">
                  <c:v>1.1903257200777919</c:v>
                </c:pt>
                <c:pt idx="113">
                  <c:v>1.202867975203799</c:v>
                </c:pt>
                <c:pt idx="114">
                  <c:v>1.2155458807532962</c:v>
                </c:pt>
                <c:pt idx="115">
                  <c:v>1.2283601498753103</c:v>
                </c:pt>
                <c:pt idx="116">
                  <c:v>1.2413115054091095</c:v>
                </c:pt>
                <c:pt idx="117">
                  <c:v>1.2544006799925946</c:v>
                </c:pt>
                <c:pt idx="118">
                  <c:v>1.2676284161725713</c:v>
                </c:pt>
                <c:pt idx="119">
                  <c:v>1.280995466516939</c:v>
                </c:pt>
                <c:pt idx="120">
                  <c:v>1.294502593728829</c:v>
                </c:pt>
                <c:pt idx="121">
                  <c:v>1.3081505707627259</c:v>
                </c:pt>
                <c:pt idx="122">
                  <c:v>1.321940180942607</c:v>
                </c:pt>
                <c:pt idx="123">
                  <c:v>1.3358722180821379</c:v>
                </c:pt>
                <c:pt idx="124">
                  <c:v>1.3499474866069516</c:v>
                </c:pt>
                <c:pt idx="125">
                  <c:v>1.3641668016790629</c:v>
                </c:pt>
                <c:pt idx="126">
                  <c:v>1.3785309893234441</c:v>
                </c:pt>
                <c:pt idx="127">
                  <c:v>1.3930408865568027</c:v>
                </c:pt>
                <c:pt idx="128">
                  <c:v>1.4076973415186071</c:v>
                </c:pt>
                <c:pt idx="129">
                  <c:v>1.4225012136043944</c:v>
                </c:pt>
                <c:pt idx="130">
                  <c:v>1.4374533736014048</c:v>
                </c:pt>
                <c:pt idx="131">
                  <c:v>1.4525547038265838</c:v>
                </c:pt>
                <c:pt idx="132">
                  <c:v>1.4678060982669949</c:v>
                </c:pt>
                <c:pt idx="133">
                  <c:v>1.4832084627226905</c:v>
                </c:pt>
                <c:pt idx="134">
                  <c:v>1.498762714952083</c:v>
                </c:pt>
                <c:pt idx="135">
                  <c:v>1.5144697848198632</c:v>
                </c:pt>
                <c:pt idx="136">
                  <c:v>1.5303306144475128</c:v>
                </c:pt>
                <c:pt idx="137">
                  <c:v>1.5463461583664617</c:v>
                </c:pt>
                <c:pt idx="138">
                  <c:v>1.5625173836739374</c:v>
                </c:pt>
                <c:pt idx="139">
                  <c:v>1.578845270191559</c:v>
                </c:pt>
                <c:pt idx="140">
                  <c:v>1.5953308106267241</c:v>
                </c:pt>
                <c:pt idx="141">
                  <c:v>1.6119750107368451</c:v>
                </c:pt>
                <c:pt idx="142">
                  <c:v>1.6287788894964896</c:v>
                </c:pt>
                <c:pt idx="143">
                  <c:v>1.6457434792674774</c:v>
                </c:pt>
                <c:pt idx="144">
                  <c:v>1.6628698259719892</c:v>
                </c:pt>
                <c:pt idx="145">
                  <c:v>1.6801589892687536</c:v>
                </c:pt>
                <c:pt idx="146">
                  <c:v>1.69761204273236</c:v>
                </c:pt>
                <c:pt idx="147">
                  <c:v>1.7152300740357689</c:v>
                </c:pt>
                <c:pt idx="148">
                  <c:v>1.7330141851360732</c:v>
                </c:pt>
                <c:pt idx="149">
                  <c:v>1.7509654924635789</c:v>
                </c:pt>
                <c:pt idx="150">
                  <c:v>1.7690851271142694</c:v>
                </c:pt>
                <c:pt idx="151">
                  <c:v>1.7873742350457185</c:v>
                </c:pt>
                <c:pt idx="152">
                  <c:v>1.8058339772765204</c:v>
                </c:pt>
                <c:pt idx="153">
                  <c:v>1.82446553008931</c:v>
                </c:pt>
                <c:pt idx="154">
                  <c:v>1.8432700852374346</c:v>
                </c:pt>
                <c:pt idx="155">
                  <c:v>1.8622488501553682</c:v>
                </c:pt>
                <c:pt idx="156">
                  <c:v>1.8814030481729205</c:v>
                </c:pt>
                <c:pt idx="157">
                  <c:v>1.9007339187333339</c:v>
                </c:pt>
                <c:pt idx="158">
                  <c:v>1.9202427176153436</c:v>
                </c:pt>
                <c:pt idx="159">
                  <c:v>1.939930717159271</c:v>
                </c:pt>
                <c:pt idx="160">
                  <c:v>1.9597992064972483</c:v>
                </c:pt>
                <c:pt idx="161">
                  <c:v>1.9798494917876419</c:v>
                </c:pt>
                <c:pt idx="162">
                  <c:v>2.0000828964537751</c:v>
                </c:pt>
                <c:pt idx="163">
                  <c:v>2.0205007614270256</c:v>
                </c:pt>
                <c:pt idx="164">
                  <c:v>2.0411044453944003</c:v>
                </c:pt>
                <c:pt idx="165">
                  <c:v>2.0618953250506662</c:v>
                </c:pt>
                <c:pt idx="166">
                  <c:v>2.0828747953551421</c:v>
                </c:pt>
                <c:pt idx="167">
                  <c:v>2.1040442697932464</c:v>
                </c:pt>
                <c:pt idx="168">
                  <c:v>2.1254051806428942</c:v>
                </c:pt>
                <c:pt idx="169">
                  <c:v>2.1469589792458512</c:v>
                </c:pt>
                <c:pt idx="170">
                  <c:v>2.1687071362841528</c:v>
                </c:pt>
                <c:pt idx="171">
                  <c:v>2.1906511420616726</c:v>
                </c:pt>
                <c:pt idx="172">
                  <c:v>2.2127925067909873</c:v>
                </c:pt>
                <c:pt idx="173">
                  <c:v>2.2351327608856089</c:v>
                </c:pt>
                <c:pt idx="174">
                  <c:v>2.2576734552577324</c:v>
                </c:pt>
                <c:pt idx="175">
                  <c:v>2.2804161616215946</c:v>
                </c:pt>
                <c:pt idx="176">
                  <c:v>2.3033624728025761</c:v>
                </c:pt>
                <c:pt idx="177">
                  <c:v>2.3265140030521607</c:v>
                </c:pt>
                <c:pt idx="178">
                  <c:v>2.349872388368897</c:v>
                </c:pt>
                <c:pt idx="179">
                  <c:v>2.3734392868254588</c:v>
                </c:pt>
                <c:pt idx="180">
                  <c:v>2.3972163789019794</c:v>
                </c:pt>
                <c:pt idx="181">
                  <c:v>2.4212053678257606</c:v>
                </c:pt>
                <c:pt idx="182">
                  <c:v>2.4454079799175066</c:v>
                </c:pt>
                <c:pt idx="183">
                  <c:v>2.4698259649442527</c:v>
                </c:pt>
                <c:pt idx="184">
                  <c:v>2.4944610964790748</c:v>
                </c:pt>
                <c:pt idx="185">
                  <c:v>2.5193151722678069</c:v>
                </c:pt>
                <c:pt idx="186">
                  <c:v>2.5443900146028535</c:v>
                </c:pt>
                <c:pt idx="187">
                  <c:v>2.5696874707042996</c:v>
                </c:pt>
                <c:pt idx="188">
                  <c:v>2.5952094131084587</c:v>
                </c:pt>
                <c:pt idx="189">
                  <c:v>2.6209577400640418</c:v>
                </c:pt>
                <c:pt idx="190">
                  <c:v>2.6469343759360928</c:v>
                </c:pt>
                <c:pt idx="191">
                  <c:v>2.6731412716178937</c:v>
                </c:pt>
                <c:pt idx="192">
                  <c:v>2.6995804049510141</c:v>
                </c:pt>
                <c:pt idx="193">
                  <c:v>2.7262537811536687</c:v>
                </c:pt>
                <c:pt idx="194">
                  <c:v>2.753163433257598</c:v>
                </c:pt>
                <c:pt idx="195">
                  <c:v>2.7803114225536616</c:v>
                </c:pt>
                <c:pt idx="196">
                  <c:v>2.8076998390463181</c:v>
                </c:pt>
                <c:pt idx="197">
                  <c:v>2.8353308019172503</c:v>
                </c:pt>
                <c:pt idx="198">
                  <c:v>2.863206459998286</c:v>
                </c:pt>
                <c:pt idx="199">
                  <c:v>2.8913289922538694</c:v>
                </c:pt>
                <c:pt idx="200">
                  <c:v>2.919700608273307</c:v>
                </c:pt>
              </c:numCache>
            </c:numRef>
          </c:val>
          <c:smooth val="0"/>
          <c:extLst>
            <c:ext xmlns:c16="http://schemas.microsoft.com/office/drawing/2014/chart" uri="{C3380CC4-5D6E-409C-BE32-E72D297353CC}">
              <c16:uniqueId val="{00000001-98A2-4F00-B92B-92E63858A880}"/>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Calculations'!$AC$9:$AC$209</c:f>
              <c:numCache>
                <c:formatCode>0.0000</c:formatCode>
                <c:ptCount val="201"/>
                <c:pt idx="0">
                  <c:v>0.23689432876178237</c:v>
                </c:pt>
                <c:pt idx="1">
                  <c:v>0.24032150712832534</c:v>
                </c:pt>
                <c:pt idx="2">
                  <c:v>0.24376728260762973</c:v>
                </c:pt>
                <c:pt idx="3">
                  <c:v>0.24723169535560247</c:v>
                </c:pt>
                <c:pt idx="4">
                  <c:v>0.25071478593416158</c:v>
                </c:pt>
                <c:pt idx="5">
                  <c:v>0.25421659531280683</c:v>
                </c:pt>
                <c:pt idx="6">
                  <c:v>0.25773716487021264</c:v>
                </c:pt>
                <c:pt idx="7">
                  <c:v>0.26127653639584297</c:v>
                </c:pt>
                <c:pt idx="8">
                  <c:v>0.26483475209158969</c:v>
                </c:pt>
                <c:pt idx="9">
                  <c:v>0.26841185457343253</c:v>
                </c:pt>
                <c:pt idx="10">
                  <c:v>0.2720078868731225</c:v>
                </c:pt>
                <c:pt idx="11">
                  <c:v>0.27562289243988791</c:v>
                </c:pt>
                <c:pt idx="12">
                  <c:v>0.27925691514216422</c:v>
                </c:pt>
                <c:pt idx="13">
                  <c:v>0.28290999926934607</c:v>
                </c:pt>
                <c:pt idx="14">
                  <c:v>0.28658218953356335</c:v>
                </c:pt>
                <c:pt idx="15">
                  <c:v>0.29027353107148057</c:v>
                </c:pt>
                <c:pt idx="16">
                  <c:v>0.29398406944611977</c:v>
                </c:pt>
                <c:pt idx="17">
                  <c:v>0.2977138506487082</c:v>
                </c:pt>
                <c:pt idx="18">
                  <c:v>0.30146292110054818</c:v>
                </c:pt>
                <c:pt idx="19">
                  <c:v>0.30523132765491301</c:v>
                </c:pt>
                <c:pt idx="20">
                  <c:v>0.30901911759896605</c:v>
                </c:pt>
                <c:pt idx="21">
                  <c:v>0.31282633865570425</c:v>
                </c:pt>
                <c:pt idx="22">
                  <c:v>0.31665303898592695</c:v>
                </c:pt>
                <c:pt idx="23">
                  <c:v>0.32049926719022936</c:v>
                </c:pt>
                <c:pt idx="24">
                  <c:v>0.3243650723110203</c:v>
                </c:pt>
                <c:pt idx="25">
                  <c:v>0.32825050383456583</c:v>
                </c:pt>
                <c:pt idx="26">
                  <c:v>0.33215561169305774</c:v>
                </c:pt>
                <c:pt idx="27">
                  <c:v>0.33608044626670819</c:v>
                </c:pt>
                <c:pt idx="28">
                  <c:v>0.34002505838586933</c:v>
                </c:pt>
                <c:pt idx="29">
                  <c:v>0.34398949933317891</c:v>
                </c:pt>
                <c:pt idx="30">
                  <c:v>0.34797382084573247</c:v>
                </c:pt>
                <c:pt idx="31">
                  <c:v>0.35197807511728074</c:v>
                </c:pt>
                <c:pt idx="32">
                  <c:v>0.36018465381851739</c:v>
                </c:pt>
                <c:pt idx="33">
                  <c:v>0.37234290217616856</c:v>
                </c:pt>
                <c:pt idx="34">
                  <c:v>0.3831368173337294</c:v>
                </c:pt>
                <c:pt idx="35">
                  <c:v>0.39256602925756467</c:v>
                </c:pt>
                <c:pt idx="36">
                  <c:v>0.40063013850753165</c:v>
                </c:pt>
                <c:pt idx="37">
                  <c:v>0.40732871619623007</c:v>
                </c:pt>
                <c:pt idx="38">
                  <c:v>0.41266130394663741</c:v>
                </c:pt>
                <c:pt idx="39">
                  <c:v>0.41662741384812557</c:v>
                </c:pt>
                <c:pt idx="40">
                  <c:v>0.41922652841085045</c:v>
                </c:pt>
                <c:pt idx="41">
                  <c:v>0.42647595639278585</c:v>
                </c:pt>
                <c:pt idx="42">
                  <c:v>0.43422284509927711</c:v>
                </c:pt>
                <c:pt idx="43">
                  <c:v>0.44199151743150383</c:v>
                </c:pt>
                <c:pt idx="44">
                  <c:v>0.44978207013072369</c:v>
                </c:pt>
                <c:pt idx="45">
                  <c:v>0.45759460048711581</c:v>
                </c:pt>
                <c:pt idx="46">
                  <c:v>0.46542920634382884</c:v>
                </c:pt>
                <c:pt idx="47">
                  <c:v>0.4732859861010642</c:v>
                </c:pt>
                <c:pt idx="48">
                  <c:v>0.48116503872019306</c:v>
                </c:pt>
                <c:pt idx="49">
                  <c:v>0.48906646372790952</c:v>
                </c:pt>
                <c:pt idx="50">
                  <c:v>0.49699036122042101</c:v>
                </c:pt>
                <c:pt idx="51">
                  <c:v>0.50493683186767191</c:v>
                </c:pt>
                <c:pt idx="52">
                  <c:v>0.51290597691760664</c:v>
                </c:pt>
                <c:pt idx="53">
                  <c:v>0.52089789820046806</c:v>
                </c:pt>
                <c:pt idx="54">
                  <c:v>0.5289126981331338</c:v>
                </c:pt>
                <c:pt idx="55">
                  <c:v>0.53695047972348975</c:v>
                </c:pt>
                <c:pt idx="56">
                  <c:v>0.54501134657484307</c:v>
                </c:pt>
                <c:pt idx="57">
                  <c:v>0.55309540289037151</c:v>
                </c:pt>
                <c:pt idx="58">
                  <c:v>0.5612027534776145</c:v>
                </c:pt>
                <c:pt idx="59">
                  <c:v>0.56933350375299996</c:v>
                </c:pt>
                <c:pt idx="60">
                  <c:v>0.5774877597464152</c:v>
                </c:pt>
                <c:pt idx="61">
                  <c:v>0.58566562810581357</c:v>
                </c:pt>
                <c:pt idx="62">
                  <c:v>0.59386721610186499</c:v>
                </c:pt>
                <c:pt idx="63">
                  <c:v>0.60209263163264637</c:v>
                </c:pt>
                <c:pt idx="64">
                  <c:v>0.61034198322837263</c:v>
                </c:pt>
                <c:pt idx="65">
                  <c:v>0.618615380056171</c:v>
                </c:pt>
                <c:pt idx="66">
                  <c:v>0.62691293192489617</c:v>
                </c:pt>
                <c:pt idx="67">
                  <c:v>0.63523474928999057</c:v>
                </c:pt>
                <c:pt idx="68">
                  <c:v>0.64358094325838444</c:v>
                </c:pt>
                <c:pt idx="69">
                  <c:v>0.65195162559344211</c:v>
                </c:pt>
                <c:pt idx="70">
                  <c:v>0.6603469087199535</c:v>
                </c:pt>
                <c:pt idx="71">
                  <c:v>0.66876690572916531</c:v>
                </c:pt>
                <c:pt idx="72">
                  <c:v>0.67721173038386229</c:v>
                </c:pt>
                <c:pt idx="73">
                  <c:v>0.68568149712349336</c:v>
                </c:pt>
                <c:pt idx="74">
                  <c:v>0.69417632106933957</c:v>
                </c:pt>
                <c:pt idx="75">
                  <c:v>0.70269631802973431</c:v>
                </c:pt>
                <c:pt idx="76">
                  <c:v>0.71124160450532659</c:v>
                </c:pt>
                <c:pt idx="77">
                  <c:v>0.71981229769439403</c:v>
                </c:pt>
                <c:pt idx="78">
                  <c:v>0.72840851549820207</c:v>
                </c:pt>
                <c:pt idx="79">
                  <c:v>0.73703037652641334</c:v>
                </c:pt>
                <c:pt idx="80">
                  <c:v>0.74567800010254515</c:v>
                </c:pt>
                <c:pt idx="81">
                  <c:v>0.75435150626947689</c:v>
                </c:pt>
                <c:pt idx="82">
                  <c:v>0.76305101579500856</c:v>
                </c:pt>
                <c:pt idx="83">
                  <c:v>0.77177665017746755</c:v>
                </c:pt>
                <c:pt idx="84">
                  <c:v>0.7805285316513686</c:v>
                </c:pt>
                <c:pt idx="85">
                  <c:v>0.78930678319312542</c:v>
                </c:pt>
                <c:pt idx="86">
                  <c:v>0.79811152852681388</c:v>
                </c:pt>
                <c:pt idx="87">
                  <c:v>0.80694289212998949</c:v>
                </c:pt>
                <c:pt idx="88">
                  <c:v>0.81580099923955562</c:v>
                </c:pt>
                <c:pt idx="89">
                  <c:v>0.82468597585768899</c:v>
                </c:pt>
                <c:pt idx="90">
                  <c:v>0.83359794875781823</c:v>
                </c:pt>
                <c:pt idx="91">
                  <c:v>0.84253704549065733</c:v>
                </c:pt>
                <c:pt idx="92">
                  <c:v>0.85150339439029632</c:v>
                </c:pt>
                <c:pt idx="93">
                  <c:v>0.86049712458034577</c:v>
                </c:pt>
                <c:pt idx="94">
                  <c:v>0.8695183659801432</c:v>
                </c:pt>
                <c:pt idx="95">
                  <c:v>0.87856724931101171</c:v>
                </c:pt>
                <c:pt idx="96">
                  <c:v>0.88764390610258004</c:v>
                </c:pt>
                <c:pt idx="97">
                  <c:v>0.89674846869916158</c:v>
                </c:pt>
                <c:pt idx="98">
                  <c:v>0.90588107026619269</c:v>
                </c:pt>
                <c:pt idx="99">
                  <c:v>0.9150418447967299</c:v>
                </c:pt>
                <c:pt idx="100">
                  <c:v>0.92423092711801003</c:v>
                </c:pt>
                <c:pt idx="101">
                  <c:v>0.9334484528980721</c:v>
                </c:pt>
                <c:pt idx="102">
                  <c:v>0.94269455865243923</c:v>
                </c:pt>
                <c:pt idx="103">
                  <c:v>0.95196938175086554</c:v>
                </c:pt>
                <c:pt idx="104">
                  <c:v>0.96127306042414717</c:v>
                </c:pt>
                <c:pt idx="105">
                  <c:v>0.97060573377099468</c:v>
                </c:pt>
                <c:pt idx="106">
                  <c:v>0.97996754176497569</c:v>
                </c:pt>
                <c:pt idx="107">
                  <c:v>0.98935862526151763</c:v>
                </c:pt>
                <c:pt idx="108">
                  <c:v>0.99877912600498231</c:v>
                </c:pt>
                <c:pt idx="109">
                  <c:v>1.0082291866358033</c:v>
                </c:pt>
                <c:pt idx="110">
                  <c:v>1.0177089506976951</c:v>
                </c:pt>
                <c:pt idx="111">
                  <c:v>1.0272185626449297</c:v>
                </c:pt>
                <c:pt idx="112">
                  <c:v>1.0367581678496818</c:v>
                </c:pt>
                <c:pt idx="113">
                  <c:v>1.0463279126094456</c:v>
                </c:pt>
                <c:pt idx="114">
                  <c:v>1.0559279441545251</c:v>
                </c:pt>
                <c:pt idx="115">
                  <c:v>1.0655584106555895</c:v>
                </c:pt>
                <c:pt idx="116">
                  <c:v>1.0752194612313104</c:v>
                </c:pt>
                <c:pt idx="117">
                  <c:v>1.0849112459560668</c:v>
                </c:pt>
                <c:pt idx="118">
                  <c:v>1.0946339158677236</c:v>
                </c:pt>
                <c:pt idx="119">
                  <c:v>1.1043876229754932</c:v>
                </c:pt>
                <c:pt idx="120">
                  <c:v>1.1141725202678638</c:v>
                </c:pt>
                <c:pt idx="121">
                  <c:v>1.1239887617206101</c:v>
                </c:pt>
                <c:pt idx="122">
                  <c:v>1.1338365023048824</c:v>
                </c:pt>
                <c:pt idx="123">
                  <c:v>1.1437158979953725</c:v>
                </c:pt>
                <c:pt idx="124">
                  <c:v>1.1536271057785594</c:v>
                </c:pt>
                <c:pt idx="125">
                  <c:v>1.1635702836610371</c:v>
                </c:pt>
                <c:pt idx="126">
                  <c:v>1.1735455906779237</c:v>
                </c:pt>
                <c:pt idx="127">
                  <c:v>1.1835531869013525</c:v>
                </c:pt>
                <c:pt idx="128">
                  <c:v>1.1935932334490453</c:v>
                </c:pt>
                <c:pt idx="129">
                  <c:v>1.2036658924929748</c:v>
                </c:pt>
                <c:pt idx="130">
                  <c:v>1.2137713272681054</c:v>
                </c:pt>
                <c:pt idx="131">
                  <c:v>1.22390970208123</c:v>
                </c:pt>
                <c:pt idx="132">
                  <c:v>1.234081182319883</c:v>
                </c:pt>
                <c:pt idx="133">
                  <c:v>1.2442859344613497</c:v>
                </c:pt>
                <c:pt idx="134">
                  <c:v>1.2545241260817654</c:v>
                </c:pt>
                <c:pt idx="135">
                  <c:v>1.264795925865299</c:v>
                </c:pt>
                <c:pt idx="136">
                  <c:v>1.2751015036134346</c:v>
                </c:pt>
                <c:pt idx="137">
                  <c:v>1.2854410302543406</c:v>
                </c:pt>
                <c:pt idx="138">
                  <c:v>1.2958146778523383</c:v>
                </c:pt>
                <c:pt idx="139">
                  <c:v>1.3062226196174598</c:v>
                </c:pt>
                <c:pt idx="140">
                  <c:v>1.3166650299151041</c:v>
                </c:pt>
                <c:pt idx="141">
                  <c:v>1.3271420842757928</c:v>
                </c:pt>
                <c:pt idx="142">
                  <c:v>1.3376539594050187</c:v>
                </c:pt>
                <c:pt idx="143">
                  <c:v>1.3482008331931998</c:v>
                </c:pt>
                <c:pt idx="144">
                  <c:v>1.3587828847257293</c:v>
                </c:pt>
                <c:pt idx="145">
                  <c:v>1.3694002942931294</c:v>
                </c:pt>
                <c:pt idx="146">
                  <c:v>1.3800532434013084</c:v>
                </c:pt>
                <c:pt idx="147">
                  <c:v>1.3907419147819218</c:v>
                </c:pt>
                <c:pt idx="148">
                  <c:v>1.4014664924028368</c:v>
                </c:pt>
                <c:pt idx="149">
                  <c:v>1.4122271614787079</c:v>
                </c:pt>
                <c:pt idx="150">
                  <c:v>1.4230241084816559</c:v>
                </c:pt>
                <c:pt idx="151">
                  <c:v>1.4338575211520601</c:v>
                </c:pt>
                <c:pt idx="152">
                  <c:v>1.4447275885094581</c:v>
                </c:pt>
                <c:pt idx="153">
                  <c:v>1.4556345008635596</c:v>
                </c:pt>
                <c:pt idx="154">
                  <c:v>1.4665784498253722</c:v>
                </c:pt>
                <c:pt idx="155">
                  <c:v>1.4775596283184422</c:v>
                </c:pt>
                <c:pt idx="156">
                  <c:v>1.4885782305902129</c:v>
                </c:pt>
                <c:pt idx="157">
                  <c:v>1.4996344522234994</c:v>
                </c:pt>
                <c:pt idx="158">
                  <c:v>1.5107284901480804</c:v>
                </c:pt>
                <c:pt idx="159">
                  <c:v>1.5218605426524128</c:v>
                </c:pt>
                <c:pt idx="160">
                  <c:v>1.5330308093954688</c:v>
                </c:pt>
                <c:pt idx="161">
                  <c:v>1.5442394914186923</c:v>
                </c:pt>
                <c:pt idx="162">
                  <c:v>1.5554867911580861</c:v>
                </c:pt>
                <c:pt idx="163">
                  <c:v>1.5667729124564171</c:v>
                </c:pt>
                <c:pt idx="164">
                  <c:v>1.5780980605755615</c:v>
                </c:pt>
                <c:pt idx="165">
                  <c:v>1.5894624422089643</c:v>
                </c:pt>
                <c:pt idx="166">
                  <c:v>1.6008662654942429</c:v>
                </c:pt>
                <c:pt idx="167">
                  <c:v>1.6123097400259181</c:v>
                </c:pt>
                <c:pt idx="168">
                  <c:v>1.6237930768682771</c:v>
                </c:pt>
                <c:pt idx="169">
                  <c:v>1.6353164885683769</c:v>
                </c:pt>
                <c:pt idx="170">
                  <c:v>1.6468801891691833</c:v>
                </c:pt>
                <c:pt idx="171">
                  <c:v>1.6584843942228473</c:v>
                </c:pt>
                <c:pt idx="172">
                  <c:v>1.6701293208041277</c:v>
                </c:pt>
                <c:pt idx="173">
                  <c:v>1.6818151875239509</c:v>
                </c:pt>
                <c:pt idx="174">
                  <c:v>1.6935422145431189</c:v>
                </c:pt>
                <c:pt idx="175">
                  <c:v>1.7053106235861637</c:v>
                </c:pt>
                <c:pt idx="176">
                  <c:v>1.7171206379553468</c:v>
                </c:pt>
                <c:pt idx="177">
                  <c:v>1.7289724825448112</c:v>
                </c:pt>
                <c:pt idx="178">
                  <c:v>1.7408663838548886</c:v>
                </c:pt>
                <c:pt idx="179">
                  <c:v>1.7528025700065508</c:v>
                </c:pt>
                <c:pt idx="180">
                  <c:v>1.7647812707560298</c:v>
                </c:pt>
                <c:pt idx="181">
                  <c:v>1.7768027175095855</c:v>
                </c:pt>
                <c:pt idx="182">
                  <c:v>1.7888671433384367</c:v>
                </c:pt>
                <c:pt idx="183">
                  <c:v>1.800974782993856</c:v>
                </c:pt>
                <c:pt idx="184">
                  <c:v>1.8131258729224247</c:v>
                </c:pt>
                <c:pt idx="185">
                  <c:v>1.825320651281457</c:v>
                </c:pt>
                <c:pt idx="186">
                  <c:v>1.8375593579545917</c:v>
                </c:pt>
                <c:pt idx="187">
                  <c:v>1.84984223456755</c:v>
                </c:pt>
                <c:pt idx="188">
                  <c:v>1.8621695245040728</c:v>
                </c:pt>
                <c:pt idx="189">
                  <c:v>1.8745414729220298</c:v>
                </c:pt>
                <c:pt idx="190">
                  <c:v>1.8869583267696994</c:v>
                </c:pt>
                <c:pt idx="191">
                  <c:v>1.8994203348022374</c:v>
                </c:pt>
                <c:pt idx="192">
                  <c:v>1.9119277475983216</c:v>
                </c:pt>
                <c:pt idx="193">
                  <c:v>1.9244808175769812</c:v>
                </c:pt>
                <c:pt idx="194">
                  <c:v>1.9370797990146111</c:v>
                </c:pt>
                <c:pt idx="195">
                  <c:v>1.9497249480621812</c:v>
                </c:pt>
                <c:pt idx="196">
                  <c:v>1.962416522762624</c:v>
                </c:pt>
                <c:pt idx="197">
                  <c:v>1.9751547830684302</c:v>
                </c:pt>
                <c:pt idx="198">
                  <c:v>1.9879399908594304</c:v>
                </c:pt>
                <c:pt idx="199">
                  <c:v>2.0007724099607782</c:v>
                </c:pt>
                <c:pt idx="200">
                  <c:v>2.0136523061611369</c:v>
                </c:pt>
              </c:numCache>
            </c:numRef>
          </c:val>
          <c:smooth val="0"/>
          <c:extLst>
            <c:ext xmlns:c16="http://schemas.microsoft.com/office/drawing/2014/chart" uri="{C3380CC4-5D6E-409C-BE32-E72D297353CC}">
              <c16:uniqueId val="{00000002-98A2-4F00-B92B-92E63858A880}"/>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cat>
          <c:val>
            <c:numRef>
              <c:f>'Power Calculations'!$AG$9:$AG$209</c:f>
              <c:numCache>
                <c:formatCode>0.0000</c:formatCode>
                <c:ptCount val="201"/>
                <c:pt idx="0">
                  <c:v>5.2915572843179208E-2</c:v>
                </c:pt>
                <c:pt idx="1">
                  <c:v>5.4129063833048607E-2</c:v>
                </c:pt>
                <c:pt idx="2">
                  <c:v>5.536107703957114E-2</c:v>
                </c:pt>
                <c:pt idx="3">
                  <c:v>5.6611623212226958E-2</c:v>
                </c:pt>
                <c:pt idx="4">
                  <c:v>5.7880713505028346E-2</c:v>
                </c:pt>
                <c:pt idx="5">
                  <c:v>5.9168359476833382E-2</c:v>
                </c:pt>
                <c:pt idx="6">
                  <c:v>6.0474573091681617E-2</c:v>
                </c:pt>
                <c:pt idx="7">
                  <c:v>6.1799366719151802E-2</c:v>
                </c:pt>
                <c:pt idx="8">
                  <c:v>6.3142753134741839E-2</c:v>
                </c:pt>
                <c:pt idx="9">
                  <c:v>6.4504745520271078E-2</c:v>
                </c:pt>
                <c:pt idx="10">
                  <c:v>6.5885357464304531E-2</c:v>
                </c:pt>
                <c:pt idx="11">
                  <c:v>6.7284602962599513E-2</c:v>
                </c:pt>
                <c:pt idx="12">
                  <c:v>6.8702496418574566E-2</c:v>
                </c:pt>
                <c:pt idx="13">
                  <c:v>7.0139052643800534E-2</c:v>
                </c:pt>
                <c:pt idx="14">
                  <c:v>7.1594286858514183E-2</c:v>
                </c:pt>
                <c:pt idx="15">
                  <c:v>7.3068214692153952E-2</c:v>
                </c:pt>
                <c:pt idx="16">
                  <c:v>7.4560852183918308E-2</c:v>
                </c:pt>
                <c:pt idx="17">
                  <c:v>7.6072215783346525E-2</c:v>
                </c:pt>
                <c:pt idx="18">
                  <c:v>7.7602322350921876E-2</c:v>
                </c:pt>
                <c:pt idx="19">
                  <c:v>7.9151189158697427E-2</c:v>
                </c:pt>
                <c:pt idx="20">
                  <c:v>8.0718833890944447E-2</c:v>
                </c:pt>
                <c:pt idx="21">
                  <c:v>8.2305274644823428E-2</c:v>
                </c:pt>
                <c:pt idx="22">
                  <c:v>8.391052993107774E-2</c:v>
                </c:pt>
                <c:pt idx="23">
                  <c:v>8.5534618674750276E-2</c:v>
                </c:pt>
                <c:pt idx="24">
                  <c:v>8.7177560215922628E-2</c:v>
                </c:pt>
                <c:pt idx="25">
                  <c:v>8.8839374310477198E-2</c:v>
                </c:pt>
                <c:pt idx="26">
                  <c:v>9.0520081130882515E-2</c:v>
                </c:pt>
                <c:pt idx="27">
                  <c:v>9.221970126700102E-2</c:v>
                </c:pt>
                <c:pt idx="28">
                  <c:v>9.3938255726920619E-2</c:v>
                </c:pt>
                <c:pt idx="29">
                  <c:v>9.5675765937808688E-2</c:v>
                </c:pt>
                <c:pt idx="30">
                  <c:v>9.7432253746789668E-2</c:v>
                </c:pt>
                <c:pt idx="31">
                  <c:v>9.9207741421846005E-2</c:v>
                </c:pt>
                <c:pt idx="32">
                  <c:v>0.1010022516527421</c:v>
                </c:pt>
                <c:pt idx="33">
                  <c:v>0.10281580755197213</c:v>
                </c:pt>
                <c:pt idx="34">
                  <c:v>0.104648432655731</c:v>
                </c:pt>
                <c:pt idx="35">
                  <c:v>0.10650015092490925</c:v>
                </c:pt>
                <c:pt idx="36">
                  <c:v>0.10837098674611137</c:v>
                </c:pt>
                <c:pt idx="37">
                  <c:v>0.11026096493269803</c:v>
                </c:pt>
                <c:pt idx="38">
                  <c:v>0.11217011072585223</c:v>
                </c:pt>
                <c:pt idx="39">
                  <c:v>0.11409844979566938</c:v>
                </c:pt>
                <c:pt idx="40">
                  <c:v>0.11604600824227125</c:v>
                </c:pt>
                <c:pt idx="41">
                  <c:v>0.11911723690534483</c:v>
                </c:pt>
                <c:pt idx="42">
                  <c:v>0.12230576446339857</c:v>
                </c:pt>
                <c:pt idx="43">
                  <c:v>0.1255139708441175</c:v>
                </c:pt>
                <c:pt idx="44">
                  <c:v>0.12874189722707571</c:v>
                </c:pt>
                <c:pt idx="45">
                  <c:v>0.13198958524184926</c:v>
                </c:pt>
                <c:pt idx="46">
                  <c:v>0.13525707696977385</c:v>
                </c:pt>
                <c:pt idx="47">
                  <c:v>0.13854441494572764</c:v>
                </c:pt>
                <c:pt idx="48">
                  <c:v>0.141851642159941</c:v>
                </c:pt>
                <c:pt idx="49">
                  <c:v>0.14517880205983169</c:v>
                </c:pt>
                <c:pt idx="50">
                  <c:v>0.14852593855186697</c:v>
                </c:pt>
                <c:pt idx="51">
                  <c:v>0.15189309600345222</c:v>
                </c:pt>
                <c:pt idx="52">
                  <c:v>0.1552803192448462</c:v>
                </c:pt>
                <c:pt idx="53">
                  <c:v>0.15868765357110301</c:v>
                </c:pt>
                <c:pt idx="54">
                  <c:v>0.16211514474404168</c:v>
                </c:pt>
                <c:pt idx="55">
                  <c:v>0.16556283899424257</c:v>
                </c:pt>
                <c:pt idx="56">
                  <c:v>0.16903078302307131</c:v>
                </c:pt>
                <c:pt idx="57">
                  <c:v>0.1725190240047304</c:v>
                </c:pt>
                <c:pt idx="58">
                  <c:v>0.17602760958833888</c:v>
                </c:pt>
                <c:pt idx="59">
                  <c:v>0.17955658790003923</c:v>
                </c:pt>
                <c:pt idx="60">
                  <c:v>0.18310600754513359</c:v>
                </c:pt>
                <c:pt idx="61">
                  <c:v>0.18667591761024718</c:v>
                </c:pt>
                <c:pt idx="62">
                  <c:v>0.1902663676655213</c:v>
                </c:pt>
                <c:pt idx="63">
                  <c:v>0.19387740776683451</c:v>
                </c:pt>
                <c:pt idx="64">
                  <c:v>0.19750908845805301</c:v>
                </c:pt>
                <c:pt idx="65">
                  <c:v>0.20116146077331012</c:v>
                </c:pt>
                <c:pt idx="66">
                  <c:v>0.20483457623931556</c:v>
                </c:pt>
                <c:pt idx="67">
                  <c:v>0.20852848687769343</c:v>
                </c:pt>
                <c:pt idx="68">
                  <c:v>0.21224324520735141</c:v>
                </c:pt>
                <c:pt idx="69">
                  <c:v>0.21597890424687852</c:v>
                </c:pt>
                <c:pt idx="70">
                  <c:v>0.21973551751697465</c:v>
                </c:pt>
                <c:pt idx="71">
                  <c:v>0.22351313904290906</c:v>
                </c:pt>
                <c:pt idx="72">
                  <c:v>0.22731182335701114</c:v>
                </c:pt>
                <c:pt idx="73">
                  <c:v>0.23113162550119107</c:v>
                </c:pt>
                <c:pt idx="74">
                  <c:v>0.23497260102949213</c:v>
                </c:pt>
                <c:pt idx="75">
                  <c:v>0.23883480601067458</c:v>
                </c:pt>
                <c:pt idx="76">
                  <c:v>0.24271829703083087</c:v>
                </c:pt>
                <c:pt idx="77">
                  <c:v>0.24662313119603335</c:v>
                </c:pt>
                <c:pt idx="78">
                  <c:v>0.25054936613501344</c:v>
                </c:pt>
                <c:pt idx="79">
                  <c:v>0.25449706000187433</c:v>
                </c:pt>
                <c:pt idx="80">
                  <c:v>0.25846627147883522</c:v>
                </c:pt>
                <c:pt idx="81">
                  <c:v>0.26245705977900957</c:v>
                </c:pt>
                <c:pt idx="82">
                  <c:v>0.26646948464921572</c:v>
                </c:pt>
                <c:pt idx="83">
                  <c:v>0.27050360637282228</c:v>
                </c:pt>
                <c:pt idx="84">
                  <c:v>0.27455948577262596</c:v>
                </c:pt>
                <c:pt idx="85">
                  <c:v>0.27863718421376416</c:v>
                </c:pt>
                <c:pt idx="86">
                  <c:v>0.28273676360666183</c:v>
                </c:pt>
                <c:pt idx="87">
                  <c:v>0.28685828641001399</c:v>
                </c:pt>
                <c:pt idx="88">
                  <c:v>0.29100181563380095</c:v>
                </c:pt>
                <c:pt idx="89">
                  <c:v>0.29516741484234094</c:v>
                </c:pt>
                <c:pt idx="90">
                  <c:v>0.2993551481573774</c:v>
                </c:pt>
                <c:pt idx="91">
                  <c:v>0.30356508026120227</c:v>
                </c:pt>
                <c:pt idx="92">
                  <c:v>0.30779727639981536</c:v>
                </c:pt>
                <c:pt idx="93">
                  <c:v>0.31205180238612007</c:v>
                </c:pt>
                <c:pt idx="94">
                  <c:v>0.31632872460315659</c:v>
                </c:pt>
                <c:pt idx="95">
                  <c:v>0.32062811000737174</c:v>
                </c:pt>
                <c:pt idx="96">
                  <c:v>0.32495002613192558</c:v>
                </c:pt>
                <c:pt idx="97">
                  <c:v>0.32929454109003792</c:v>
                </c:pt>
                <c:pt idx="98">
                  <c:v>0.33366172357837043</c:v>
                </c:pt>
                <c:pt idx="99">
                  <c:v>0.33805164288044892</c:v>
                </c:pt>
                <c:pt idx="100">
                  <c:v>0.34246436887012383</c:v>
                </c:pt>
                <c:pt idx="101">
                  <c:v>0.34689997201507045</c:v>
                </c:pt>
                <c:pt idx="102">
                  <c:v>0.35135852338032741</c:v>
                </c:pt>
                <c:pt idx="103">
                  <c:v>0.35584009463187677</c:v>
                </c:pt>
                <c:pt idx="104">
                  <c:v>0.36034475804026284</c:v>
                </c:pt>
                <c:pt idx="105">
                  <c:v>0.36487258648425253</c:v>
                </c:pt>
                <c:pt idx="106">
                  <c:v>0.36942365345453682</c:v>
                </c:pt>
                <c:pt idx="107">
                  <c:v>0.37399803305747303</c:v>
                </c:pt>
                <c:pt idx="108">
                  <c:v>0.37859580001886867</c:v>
                </c:pt>
                <c:pt idx="109">
                  <c:v>0.38321702968780891</c:v>
                </c:pt>
                <c:pt idx="110">
                  <c:v>0.38786179804052501</c:v>
                </c:pt>
                <c:pt idx="111">
                  <c:v>0.39253018168430642</c:v>
                </c:pt>
                <c:pt idx="112">
                  <c:v>0.39722225786145654</c:v>
                </c:pt>
                <c:pt idx="113">
                  <c:v>0.40193810445329153</c:v>
                </c:pt>
                <c:pt idx="114">
                  <c:v>0.40667779998418446</c:v>
                </c:pt>
                <c:pt idx="115">
                  <c:v>0.41144142362565306</c:v>
                </c:pt>
                <c:pt idx="116">
                  <c:v>0.41622905520049247</c:v>
                </c:pt>
                <c:pt idx="117">
                  <c:v>0.42104077518695499</c:v>
                </c:pt>
                <c:pt idx="118">
                  <c:v>0.42587666472297436</c:v>
                </c:pt>
                <c:pt idx="119">
                  <c:v>0.43073680561043659</c:v>
                </c:pt>
                <c:pt idx="120">
                  <c:v>0.43562128031949898</c:v>
                </c:pt>
                <c:pt idx="121">
                  <c:v>0.44053017199295402</c:v>
                </c:pt>
                <c:pt idx="122">
                  <c:v>0.44546356445064383</c:v>
                </c:pt>
                <c:pt idx="123">
                  <c:v>0.450421542193922</c:v>
                </c:pt>
                <c:pt idx="124">
                  <c:v>0.45540419041016195</c:v>
                </c:pt>
                <c:pt idx="125">
                  <c:v>0.46041159497731809</c:v>
                </c:pt>
                <c:pt idx="126">
                  <c:v>0.46544384246853554</c:v>
                </c:pt>
                <c:pt idx="127">
                  <c:v>0.47050102015680784</c:v>
                </c:pt>
                <c:pt idx="128">
                  <c:v>0.47558321601968861</c:v>
                </c:pt>
                <c:pt idx="129">
                  <c:v>0.48069051874405311</c:v>
                </c:pt>
                <c:pt idx="130">
                  <c:v>0.48582301773091141</c:v>
                </c:pt>
                <c:pt idx="131">
                  <c:v>0.49098080310027403</c:v>
                </c:pt>
                <c:pt idx="132">
                  <c:v>0.4961639656960713</c:v>
                </c:pt>
                <c:pt idx="133">
                  <c:v>0.50137259709112469</c:v>
                </c:pt>
                <c:pt idx="134">
                  <c:v>0.50660678959217287</c:v>
                </c:pt>
                <c:pt idx="135">
                  <c:v>0.51186663624495388</c:v>
                </c:pt>
                <c:pt idx="136">
                  <c:v>0.51715223083933881</c:v>
                </c:pt>
                <c:pt idx="137">
                  <c:v>0.52246366791452392</c:v>
                </c:pt>
                <c:pt idx="138">
                  <c:v>0.52780104276427986</c:v>
                </c:pt>
                <c:pt idx="139">
                  <c:v>0.53316445144225399</c:v>
                </c:pt>
                <c:pt idx="140">
                  <c:v>0.53855399076733401</c:v>
                </c:pt>
                <c:pt idx="141">
                  <c:v>0.54396975832906735</c:v>
                </c:pt>
                <c:pt idx="142">
                  <c:v>0.54941185249314051</c:v>
                </c:pt>
                <c:pt idx="143">
                  <c:v>0.55488037240691668</c:v>
                </c:pt>
                <c:pt idx="144">
                  <c:v>0.56037541800503488</c:v>
                </c:pt>
                <c:pt idx="145">
                  <c:v>0.56589709001506716</c:v>
                </c:pt>
                <c:pt idx="146">
                  <c:v>0.57144548996323996</c:v>
                </c:pt>
                <c:pt idx="147">
                  <c:v>0.57702072018021522</c:v>
                </c:pt>
                <c:pt idx="148">
                  <c:v>0.58262288380693528</c:v>
                </c:pt>
                <c:pt idx="149">
                  <c:v>0.58825208480053015</c:v>
                </c:pt>
                <c:pt idx="150">
                  <c:v>0.59390842794028997</c:v>
                </c:pt>
                <c:pt idx="151">
                  <c:v>0.5995920188337005</c:v>
                </c:pt>
                <c:pt idx="152">
                  <c:v>0.60530296392254546</c:v>
                </c:pt>
                <c:pt idx="153">
                  <c:v>0.61104137048907381</c:v>
                </c:pt>
                <c:pt idx="154">
                  <c:v>0.61680734666223447</c:v>
                </c:pt>
                <c:pt idx="155">
                  <c:v>0.62260100142397923</c:v>
                </c:pt>
                <c:pt idx="156">
                  <c:v>0.62842244461563213</c:v>
                </c:pt>
                <c:pt idx="157">
                  <c:v>0.63427178694432862</c:v>
                </c:pt>
                <c:pt idx="158">
                  <c:v>0.64014913998952694</c:v>
                </c:pt>
                <c:pt idx="159">
                  <c:v>0.64605461620958526</c:v>
                </c:pt>
                <c:pt idx="160">
                  <c:v>0.6519883289484153</c:v>
                </c:pt>
                <c:pt idx="161">
                  <c:v>0.65795039244220388</c:v>
                </c:pt>
                <c:pt idx="162">
                  <c:v>0.66394092182621134</c:v>
                </c:pt>
                <c:pt idx="163">
                  <c:v>0.66996003314163921</c:v>
                </c:pt>
                <c:pt idx="164">
                  <c:v>0.67600784334257857</c:v>
                </c:pt>
                <c:pt idx="165">
                  <c:v>0.68208447030302788</c:v>
                </c:pt>
                <c:pt idx="166">
                  <c:v>0.68819003282398972</c:v>
                </c:pt>
                <c:pt idx="167">
                  <c:v>0.6943246506406473</c:v>
                </c:pt>
                <c:pt idx="168">
                  <c:v>0.70048844442961467</c:v>
                </c:pt>
                <c:pt idx="169">
                  <c:v>0.70668153581626714</c:v>
                </c:pt>
                <c:pt idx="170">
                  <c:v>0.71290404738215618</c:v>
                </c:pt>
                <c:pt idx="171">
                  <c:v>0.71915610267249652</c:v>
                </c:pt>
                <c:pt idx="172">
                  <c:v>0.72543782620374342</c:v>
                </c:pt>
                <c:pt idx="173">
                  <c:v>0.73174934347124843</c:v>
                </c:pt>
                <c:pt idx="174">
                  <c:v>0.7380907809569982</c:v>
                </c:pt>
                <c:pt idx="175">
                  <c:v>0.7444622661374416</c:v>
                </c:pt>
                <c:pt idx="176">
                  <c:v>0.75086392749139885</c:v>
                </c:pt>
                <c:pt idx="177">
                  <c:v>0.75729589450805834</c:v>
                </c:pt>
                <c:pt idx="178">
                  <c:v>0.7637582976950622</c:v>
                </c:pt>
                <c:pt idx="179">
                  <c:v>0.77025126858668014</c:v>
                </c:pt>
                <c:pt idx="180">
                  <c:v>0.77677493975207224</c:v>
                </c:pt>
                <c:pt idx="181">
                  <c:v>0.7833294448036433</c:v>
                </c:pt>
                <c:pt idx="182">
                  <c:v>0.789914918405488</c:v>
                </c:pt>
                <c:pt idx="183">
                  <c:v>0.79653149628193176</c:v>
                </c:pt>
                <c:pt idx="184">
                  <c:v>0.80317931522616193</c:v>
                </c:pt>
                <c:pt idx="185">
                  <c:v>0.80985851310895673</c:v>
                </c:pt>
                <c:pt idx="186">
                  <c:v>0.81656922888750993</c:v>
                </c:pt>
                <c:pt idx="187">
                  <c:v>0.82331160261435377</c:v>
                </c:pt>
                <c:pt idx="188">
                  <c:v>0.83008577544637752</c:v>
                </c:pt>
                <c:pt idx="189">
                  <c:v>0.83689188965395067</c:v>
                </c:pt>
                <c:pt idx="190">
                  <c:v>0.84373008863014276</c:v>
                </c:pt>
                <c:pt idx="191">
                  <c:v>0.8506005169000479</c:v>
                </c:pt>
                <c:pt idx="192">
                  <c:v>0.85750332013021302</c:v>
                </c:pt>
                <c:pt idx="193">
                  <c:v>0.86443864513816904</c:v>
                </c:pt>
                <c:pt idx="194">
                  <c:v>0.87140663990206946</c:v>
                </c:pt>
                <c:pt idx="195">
                  <c:v>0.87840745357043715</c:v>
                </c:pt>
                <c:pt idx="196">
                  <c:v>0.88544123647201622</c:v>
                </c:pt>
                <c:pt idx="197">
                  <c:v>0.89250814012573987</c:v>
                </c:pt>
                <c:pt idx="198">
                  <c:v>0.8996083172508027</c:v>
                </c:pt>
                <c:pt idx="199">
                  <c:v>0.90674192177685098</c:v>
                </c:pt>
                <c:pt idx="200">
                  <c:v>0.91390910885428567</c:v>
                </c:pt>
              </c:numCache>
            </c:numRef>
          </c:val>
          <c:smooth val="0"/>
          <c:extLst>
            <c:ext xmlns:c16="http://schemas.microsoft.com/office/drawing/2014/chart" uri="{C3380CC4-5D6E-409C-BE32-E72D297353CC}">
              <c16:uniqueId val="{00000003-98A2-4F00-B92B-92E63858A880}"/>
            </c:ext>
          </c:extLst>
        </c:ser>
        <c:dLbls>
          <c:showLegendKey val="0"/>
          <c:showVal val="0"/>
          <c:showCatName val="0"/>
          <c:showSerName val="0"/>
          <c:showPercent val="0"/>
          <c:showBubbleSize val="0"/>
        </c:dLbls>
        <c:marker val="1"/>
        <c:smooth val="0"/>
        <c:axId val="140451840"/>
        <c:axId val="140449664"/>
      </c:lineChart>
      <c:catAx>
        <c:axId val="14044147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zh-CN"/>
          </a:p>
        </c:txPr>
        <c:crossAx val="140447744"/>
        <c:crosses val="autoZero"/>
        <c:auto val="1"/>
        <c:lblAlgn val="ctr"/>
        <c:lblOffset val="100"/>
        <c:tickLblSkip val="40"/>
        <c:tickMarkSkip val="40"/>
        <c:noMultiLvlLbl val="0"/>
      </c:catAx>
      <c:valAx>
        <c:axId val="140447744"/>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zh-CN"/>
          </a:p>
        </c:txPr>
        <c:crossAx val="140441472"/>
        <c:crossesAt val="0"/>
        <c:crossBetween val="between"/>
        <c:majorUnit val="5"/>
        <c:minorUnit val="2.5"/>
      </c:valAx>
      <c:valAx>
        <c:axId val="140449664"/>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zh-CN"/>
          </a:p>
        </c:txPr>
        <c:crossAx val="140451840"/>
        <c:crosses val="max"/>
        <c:crossBetween val="between"/>
      </c:valAx>
      <c:catAx>
        <c:axId val="140451840"/>
        <c:scaling>
          <c:orientation val="minMax"/>
        </c:scaling>
        <c:delete val="1"/>
        <c:axPos val="b"/>
        <c:numFmt formatCode="General" sourceLinked="1"/>
        <c:majorTickMark val="out"/>
        <c:minorTickMark val="none"/>
        <c:tickLblPos val="nextTo"/>
        <c:crossAx val="140449664"/>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zh-CN"/>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94.010138664580452</c:v>
                </c:pt>
                <c:pt idx="1">
                  <c:v>87.989546772402576</c:v>
                </c:pt>
                <c:pt idx="2">
                  <c:v>84.467734959793177</c:v>
                </c:pt>
                <c:pt idx="3">
                  <c:v>81.968978943535916</c:v>
                </c:pt>
                <c:pt idx="4">
                  <c:v>80.03080274669081</c:v>
                </c:pt>
                <c:pt idx="5">
                  <c:v>78.447207236465204</c:v>
                </c:pt>
                <c:pt idx="6">
                  <c:v>77.108306201995134</c:v>
                </c:pt>
                <c:pt idx="7">
                  <c:v>75.948507368004044</c:v>
                </c:pt>
                <c:pt idx="8">
                  <c:v>74.925502372045514</c:v>
                </c:pt>
                <c:pt idx="9">
                  <c:v>74.010403361254362</c:v>
                </c:pt>
                <c:pt idx="10">
                  <c:v>67.990605563091989</c:v>
                </c:pt>
                <c:pt idx="11">
                  <c:v>64.470117253826416</c:v>
                </c:pt>
                <c:pt idx="12">
                  <c:v>61.973214170237014</c:v>
                </c:pt>
                <c:pt idx="13">
                  <c:v>60.037420363415379</c:v>
                </c:pt>
                <c:pt idx="14">
                  <c:v>58.456736736673705</c:v>
                </c:pt>
                <c:pt idx="15">
                  <c:v>57.121277123374369</c:v>
                </c:pt>
                <c:pt idx="16">
                  <c:v>55.965449300647578</c:v>
                </c:pt>
                <c:pt idx="17">
                  <c:v>54.94694496670347</c:v>
                </c:pt>
                <c:pt idx="18">
                  <c:v>54.036876337663344</c:v>
                </c:pt>
                <c:pt idx="19">
                  <c:v>48.096538288418799</c:v>
                </c:pt>
                <c:pt idx="20">
                  <c:v>44.708624261782823</c:v>
                </c:pt>
                <c:pt idx="21">
                  <c:v>42.397640356102137</c:v>
                </c:pt>
                <c:pt idx="22">
                  <c:v>40.701468829537333</c:v>
                </c:pt>
                <c:pt idx="23">
                  <c:v>39.414630071054461</c:v>
                </c:pt>
                <c:pt idx="24">
                  <c:v>38.427958019997618</c:v>
                </c:pt>
                <c:pt idx="25">
                  <c:v>37.676822726576454</c:v>
                </c:pt>
                <c:pt idx="26">
                  <c:v>37.120157855963782</c:v>
                </c:pt>
                <c:pt idx="27">
                  <c:v>36.730619909808844</c:v>
                </c:pt>
                <c:pt idx="28">
                  <c:v>36.790056083459454</c:v>
                </c:pt>
                <c:pt idx="29">
                  <c:v>39.033307639896584</c:v>
                </c:pt>
                <c:pt idx="30">
                  <c:v>37.134848878894985</c:v>
                </c:pt>
                <c:pt idx="31">
                  <c:v>31.749329281847455</c:v>
                </c:pt>
                <c:pt idx="32">
                  <c:v>27.634641706610033</c:v>
                </c:pt>
                <c:pt idx="33">
                  <c:v>24.632120197858477</c:v>
                </c:pt>
                <c:pt idx="34">
                  <c:v>22.339093025778361</c:v>
                </c:pt>
                <c:pt idx="35">
                  <c:v>20.51628298485269</c:v>
                </c:pt>
                <c:pt idx="36">
                  <c:v>19.02182842921852</c:v>
                </c:pt>
                <c:pt idx="37">
                  <c:v>17.76682424286572</c:v>
                </c:pt>
                <c:pt idx="38">
                  <c:v>16.692603120438761</c:v>
                </c:pt>
                <c:pt idx="39">
                  <c:v>15.758764381397775</c:v>
                </c:pt>
                <c:pt idx="40">
                  <c:v>14.936492186305149</c:v>
                </c:pt>
                <c:pt idx="41">
                  <c:v>14.204621370916929</c:v>
                </c:pt>
                <c:pt idx="42">
                  <c:v>13.547213457459966</c:v>
                </c:pt>
                <c:pt idx="43">
                  <c:v>12.95200506534691</c:v>
                </c:pt>
                <c:pt idx="44">
                  <c:v>12.409382111264129</c:v>
                </c:pt>
                <c:pt idx="45">
                  <c:v>11.911682523915525</c:v>
                </c:pt>
                <c:pt idx="46">
                  <c:v>11.452710651316336</c:v>
                </c:pt>
                <c:pt idx="47">
                  <c:v>11.027391780482848</c:v>
                </c:pt>
                <c:pt idx="48">
                  <c:v>10.631521594691947</c:v>
                </c:pt>
                <c:pt idx="49">
                  <c:v>10.261581311574076</c:v>
                </c:pt>
                <c:pt idx="50">
                  <c:v>9.9145991170538892</c:v>
                </c:pt>
                <c:pt idx="51">
                  <c:v>9.5880447872133558</c:v>
                </c:pt>
                <c:pt idx="52">
                  <c:v>9.2797484712410423</c:v>
                </c:pt>
                <c:pt idx="53">
                  <c:v>8.9878373153826132</c:v>
                </c:pt>
                <c:pt idx="54">
                  <c:v>8.710685435593982</c:v>
                </c:pt>
                <c:pt idx="55">
                  <c:v>8.4468740011463304</c:v>
                </c:pt>
                <c:pt idx="56">
                  <c:v>8.195159065447319</c:v>
                </c:pt>
                <c:pt idx="57">
                  <c:v>7.9544453976381737</c:v>
                </c:pt>
                <c:pt idx="58">
                  <c:v>7.7237650100517303</c:v>
                </c:pt>
                <c:pt idx="59">
                  <c:v>7.502259396150456</c:v>
                </c:pt>
                <c:pt idx="60">
                  <c:v>7.289164727360971</c:v>
                </c:pt>
                <c:pt idx="61">
                  <c:v>7.083799430057538</c:v>
                </c:pt>
                <c:pt idx="62">
                  <c:v>6.8855536929657983</c:v>
                </c:pt>
                <c:pt idx="63">
                  <c:v>6.6938805524601719</c:v>
                </c:pt>
                <c:pt idx="64">
                  <c:v>6.5082882771078427</c:v>
                </c:pt>
                <c:pt idx="65">
                  <c:v>6.3283338294397709</c:v>
                </c:pt>
                <c:pt idx="66">
                  <c:v>6.1536172266863867</c:v>
                </c:pt>
                <c:pt idx="67">
                  <c:v>5.983776656293216</c:v>
                </c:pt>
                <c:pt idx="68">
                  <c:v>5.8184842287709158</c:v>
                </c:pt>
                <c:pt idx="69">
                  <c:v>5.6574422715701065</c:v>
                </c:pt>
                <c:pt idx="70">
                  <c:v>5.5003800844958963</c:v>
                </c:pt>
                <c:pt idx="71">
                  <c:v>5.3470510906621822</c:v>
                </c:pt>
                <c:pt idx="72">
                  <c:v>5.1972303278656291</c:v>
                </c:pt>
                <c:pt idx="73">
                  <c:v>5.0507122340941617</c:v>
                </c:pt>
                <c:pt idx="74">
                  <c:v>4.9073086881031189</c:v>
                </c:pt>
                <c:pt idx="75">
                  <c:v>4.7668472719247559</c:v>
                </c:pt>
                <c:pt idx="76">
                  <c:v>4.6291697270813428</c:v>
                </c:pt>
                <c:pt idx="77">
                  <c:v>4.4941305803476759</c:v>
                </c:pt>
                <c:pt idx="78">
                  <c:v>4.3615959183146877</c:v>
                </c:pt>
                <c:pt idx="79">
                  <c:v>4.2314422928649211</c:v>
                </c:pt>
                <c:pt idx="80">
                  <c:v>4.1035557420830306</c:v>
                </c:pt>
                <c:pt idx="81">
                  <c:v>3.9778309131683813</c:v>
                </c:pt>
                <c:pt idx="82">
                  <c:v>3.8541702756563847</c:v>
                </c:pt>
                <c:pt idx="83">
                  <c:v>3.732483414741123</c:v>
                </c:pt>
                <c:pt idx="84">
                  <c:v>3.6126863957660649</c:v>
                </c:pt>
                <c:pt idx="85">
                  <c:v>3.4947011920465454</c:v>
                </c:pt>
                <c:pt idx="86">
                  <c:v>3.3784551691339919</c:v>
                </c:pt>
                <c:pt idx="87">
                  <c:v>3.2638806194521508</c:v>
                </c:pt>
                <c:pt idx="88">
                  <c:v>3.1509143419473022</c:v>
                </c:pt>
                <c:pt idx="89">
                  <c:v>3.0394972620146188</c:v>
                </c:pt>
                <c:pt idx="90">
                  <c:v>2.9295740875040615</c:v>
                </c:pt>
                <c:pt idx="91">
                  <c:v>2.8210929970827698</c:v>
                </c:pt>
                <c:pt idx="92">
                  <c:v>2.7140053576462888</c:v>
                </c:pt>
                <c:pt idx="93">
                  <c:v>2.6082654678357704</c:v>
                </c:pt>
                <c:pt idx="94">
                  <c:v>2.5038303250395835</c:v>
                </c:pt>
                <c:pt idx="95">
                  <c:v>2.4006594135411667</c:v>
                </c:pt>
                <c:pt idx="96">
                  <c:v>2.2987145117249961</c:v>
                </c:pt>
                <c:pt idx="97">
                  <c:v>2.1979595164741723</c:v>
                </c:pt>
                <c:pt idx="98">
                  <c:v>2.0983602830891792</c:v>
                </c:pt>
                <c:pt idx="99">
                  <c:v>1.9998844792314394</c:v>
                </c:pt>
                <c:pt idx="100">
                  <c:v>1.9025014515500045</c:v>
                </c:pt>
                <c:pt idx="101">
                  <c:v>1.8061821037870742</c:v>
                </c:pt>
                <c:pt idx="102">
                  <c:v>1.7108987852807633</c:v>
                </c:pt>
                <c:pt idx="103">
                  <c:v>1.6166251888924994</c:v>
                </c:pt>
                <c:pt idx="104">
                  <c:v>1.5233362574840421</c:v>
                </c:pt>
                <c:pt idx="105">
                  <c:v>1.4310080981560311</c:v>
                </c:pt>
                <c:pt idx="106">
                  <c:v>1.339617903537986</c:v>
                </c:pt>
                <c:pt idx="107">
                  <c:v>1.2491438794890701</c:v>
                </c:pt>
                <c:pt idx="108">
                  <c:v>1.1595651786316197</c:v>
                </c:pt>
                <c:pt idx="109">
                  <c:v>1.0708618391952429</c:v>
                </c:pt>
                <c:pt idx="110">
                  <c:v>0.98301472869941731</c:v>
                </c:pt>
                <c:pt idx="111">
                  <c:v>0.89600549204775382</c:v>
                </c:pt>
                <c:pt idx="112">
                  <c:v>0.80981650364749458</c:v>
                </c:pt>
                <c:pt idx="113">
                  <c:v>0.72443082320427687</c:v>
                </c:pt>
                <c:pt idx="114">
                  <c:v>0.63983215487492684</c:v>
                </c:pt>
                <c:pt idx="115">
                  <c:v>0.55600480949067477</c:v>
                </c:pt>
                <c:pt idx="116">
                  <c:v>0.47293366958962585</c:v>
                </c:pt>
                <c:pt idx="117">
                  <c:v>0.39060415702154871</c:v>
                </c:pt>
                <c:pt idx="118">
                  <c:v>0.30900220290948294</c:v>
                </c:pt>
                <c:pt idx="119">
                  <c:v>0.22811421977224131</c:v>
                </c:pt>
                <c:pt idx="120">
                  <c:v>0.1479270756297737</c:v>
                </c:pt>
                <c:pt idx="121">
                  <c:v>6.8428069928984911E-2</c:v>
                </c:pt>
                <c:pt idx="122">
                  <c:v>-1.0395088857633263E-2</c:v>
                </c:pt>
                <c:pt idx="123">
                  <c:v>-8.8554304095355779E-2</c:v>
                </c:pt>
                <c:pt idx="124">
                  <c:v>-0.16606111043533123</c:v>
                </c:pt>
                <c:pt idx="125">
                  <c:v>-0.24292669195962474</c:v>
                </c:pt>
                <c:pt idx="126">
                  <c:v>-0.31916189912552761</c:v>
                </c:pt>
                <c:pt idx="127">
                  <c:v>-0.39477726460269119</c:v>
                </c:pt>
                <c:pt idx="128">
                  <c:v>-0.46978301808865996</c:v>
                </c:pt>
                <c:pt idx="129">
                  <c:v>-0.54418910018089051</c:v>
                </c:pt>
                <c:pt idx="130">
                  <c:v>-0.61800517537710609</c:v>
                </c:pt>
                <c:pt idx="131">
                  <c:v>-0.69124064426933918</c:v>
                </c:pt>
                <c:pt idx="132">
                  <c:v>-0.76390465499197902</c:v>
                </c:pt>
                <c:pt idx="133">
                  <c:v>-0.83600611397879987</c:v>
                </c:pt>
                <c:pt idx="134">
                  <c:v>-0.90755369607965286</c:v>
                </c:pt>
                <c:pt idx="135">
                  <c:v>-0.97855585408326395</c:v>
                </c:pt>
                <c:pt idx="136">
                  <c:v>-1.0490208276887096</c:v>
                </c:pt>
                <c:pt idx="137">
                  <c:v>-1.1189566519648926</c:v>
                </c:pt>
                <c:pt idx="138">
                  <c:v>-1.1883711653341211</c:v>
                </c:pt>
                <c:pt idx="139">
                  <c:v>-1.2572720171127938</c:v>
                </c:pt>
                <c:pt idx="140">
                  <c:v>-1.3256666746401051</c:v>
                </c:pt>
                <c:pt idx="141">
                  <c:v>-1.3935624300226099</c:v>
                </c:pt>
                <c:pt idx="142">
                  <c:v>-1.4609664065208574</c:v>
                </c:pt>
                <c:pt idx="143">
                  <c:v>-1.5278855646019827</c:v>
                </c:pt>
                <c:pt idx="144">
                  <c:v>-1.5943267076804024</c:v>
                </c:pt>
                <c:pt idx="145">
                  <c:v>-1.6602964875670603</c:v>
                </c:pt>
                <c:pt idx="146">
                  <c:v>-1.7258014096461256</c:v>
                </c:pt>
                <c:pt idx="147">
                  <c:v>-1.7908478377966373</c:v>
                </c:pt>
                <c:pt idx="148">
                  <c:v>-1.8554419990752242</c:v>
                </c:pt>
                <c:pt idx="149">
                  <c:v>-1.9195899881749789</c:v>
                </c:pt>
                <c:pt idx="150">
                  <c:v>-1.9832977716742692</c:v>
                </c:pt>
                <c:pt idx="151">
                  <c:v>-2.0465711920884484</c:v>
                </c:pt>
                <c:pt idx="152">
                  <c:v>-2.1094159717363232</c:v>
                </c:pt>
                <c:pt idx="153">
                  <c:v>-2.171837716432603</c:v>
                </c:pt>
                <c:pt idx="154">
                  <c:v>-2.2338419190164589</c:v>
                </c:pt>
                <c:pt idx="155">
                  <c:v>-2.2954339627259559</c:v>
                </c:pt>
                <c:pt idx="156">
                  <c:v>-2.3566191244271653</c:v>
                </c:pt>
                <c:pt idx="157">
                  <c:v>-2.4174025777062189</c:v>
                </c:pt>
                <c:pt idx="158">
                  <c:v>-2.4777893958321999</c:v>
                </c:pt>
                <c:pt idx="159">
                  <c:v>-2.5377845545978461</c:v>
                </c:pt>
                <c:pt idx="160">
                  <c:v>-2.597392935045014</c:v>
                </c:pt>
                <c:pt idx="161">
                  <c:v>-2.6566193260809552</c:v>
                </c:pt>
                <c:pt idx="162">
                  <c:v>-2.7154684269914835</c:v>
                </c:pt>
                <c:pt idx="163">
                  <c:v>-2.773944849856262</c:v>
                </c:pt>
                <c:pt idx="164">
                  <c:v>-2.8320531218715601</c:v>
                </c:pt>
                <c:pt idx="165">
                  <c:v>-2.8897976875851161</c:v>
                </c:pt>
                <c:pt idx="166">
                  <c:v>-2.9471829110476171</c:v>
                </c:pt>
                <c:pt idx="167">
                  <c:v>-3.0042130778850846</c:v>
                </c:pt>
                <c:pt idx="168">
                  <c:v>-3.0608923972959383</c:v>
                </c:pt>
                <c:pt idx="169">
                  <c:v>-3.117225003976611</c:v>
                </c:pt>
                <c:pt idx="170">
                  <c:v>-3.1732149599790542</c:v>
                </c:pt>
                <c:pt idx="171">
                  <c:v>-3.2288662565034691</c:v>
                </c:pt>
                <c:pt idx="172">
                  <c:v>-3.2841828156292596</c:v>
                </c:pt>
                <c:pt idx="173">
                  <c:v>-3.3391684919871718</c:v>
                </c:pt>
                <c:pt idx="174">
                  <c:v>-3.3938270743752592</c:v>
                </c:pt>
                <c:pt idx="175">
                  <c:v>-3.448162287321241</c:v>
                </c:pt>
                <c:pt idx="176">
                  <c:v>-3.502177792593697</c:v>
                </c:pt>
                <c:pt idx="177">
                  <c:v>-3.55587719066436</c:v>
                </c:pt>
                <c:pt idx="178">
                  <c:v>-3.6092640221235834</c:v>
                </c:pt>
                <c:pt idx="179">
                  <c:v>-3.6623417690510895</c:v>
                </c:pt>
                <c:pt idx="180">
                  <c:v>-3.7151138563438995</c:v>
                </c:pt>
                <c:pt idx="181">
                  <c:v>-3.7675836530031654</c:v>
                </c:pt>
                <c:pt idx="182">
                  <c:v>-3.8197544733817237</c:v>
                </c:pt>
                <c:pt idx="183">
                  <c:v>-3.8716295783939669</c:v>
                </c:pt>
                <c:pt idx="184">
                  <c:v>-3.9232121766894408</c:v>
                </c:pt>
                <c:pt idx="185">
                  <c:v>-3.974505425791846</c:v>
                </c:pt>
                <c:pt idx="186">
                  <c:v>-4.0255124332045842</c:v>
                </c:pt>
                <c:pt idx="187">
                  <c:v>-4.07623625748435</c:v>
                </c:pt>
                <c:pt idx="188">
                  <c:v>-4.12667990928386</c:v>
                </c:pt>
                <c:pt idx="189">
                  <c:v>-4.176846352365021</c:v>
                </c:pt>
                <c:pt idx="190">
                  <c:v>-4.226738504583559</c:v>
                </c:pt>
                <c:pt idx="191">
                  <c:v>-4.276359238846231</c:v>
                </c:pt>
                <c:pt idx="192">
                  <c:v>-4.3257113840416173</c:v>
                </c:pt>
                <c:pt idx="193">
                  <c:v>-4.3747977259454824</c:v>
                </c:pt>
                <c:pt idx="194">
                  <c:v>-4.4236210081015646</c:v>
                </c:pt>
                <c:pt idx="195">
                  <c:v>-4.4721839326787558</c:v>
                </c:pt>
                <c:pt idx="196">
                  <c:v>-4.5204891613054361</c:v>
                </c:pt>
                <c:pt idx="197">
                  <c:v>-4.5685393158817735</c:v>
                </c:pt>
                <c:pt idx="198">
                  <c:v>-4.6163369793708329</c:v>
                </c:pt>
                <c:pt idx="199">
                  <c:v>-4.6638846965690508</c:v>
                </c:pt>
                <c:pt idx="200">
                  <c:v>-4.7111849748570203</c:v>
                </c:pt>
                <c:pt idx="201">
                  <c:v>-4.7582402849309382</c:v>
                </c:pt>
                <c:pt idx="202">
                  <c:v>-4.8050530615156877</c:v>
                </c:pt>
                <c:pt idx="203">
                  <c:v>-4.8516257040598605</c:v>
                </c:pt>
                <c:pt idx="204">
                  <c:v>-4.897960577413536</c:v>
                </c:pt>
                <c:pt idx="205">
                  <c:v>-4.9440600124892349</c:v>
                </c:pt>
                <c:pt idx="206">
                  <c:v>-4.98992630690665</c:v>
                </c:pt>
                <c:pt idx="207">
                  <c:v>-5.0355617256216316</c:v>
                </c:pt>
                <c:pt idx="208">
                  <c:v>-5.0809685015399335</c:v>
                </c:pt>
                <c:pt idx="209">
                  <c:v>-5.1261488361162408</c:v>
                </c:pt>
                <c:pt idx="210">
                  <c:v>-5.1711048999388023</c:v>
                </c:pt>
                <c:pt idx="211">
                  <c:v>-5.2158388333002961</c:v>
                </c:pt>
                <c:pt idx="212">
                  <c:v>-5.2603527467551547</c:v>
                </c:pt>
                <c:pt idx="213">
                  <c:v>-5.3046487216638774</c:v>
                </c:pt>
                <c:pt idx="214">
                  <c:v>-5.3487288107246878</c:v>
                </c:pt>
                <c:pt idx="215">
                  <c:v>-5.3925950384928898</c:v>
                </c:pt>
                <c:pt idx="216">
                  <c:v>-5.4362494018882899</c:v>
                </c:pt>
                <c:pt idx="217">
                  <c:v>-5.4796938706910323</c:v>
                </c:pt>
                <c:pt idx="218">
                  <c:v>-5.5229303880262233</c:v>
                </c:pt>
                <c:pt idx="219">
                  <c:v>-5.5659608708375714</c:v>
                </c:pt>
                <c:pt idx="220">
                  <c:v>-5.6087872103504379</c:v>
                </c:pt>
                <c:pt idx="221">
                  <c:v>-5.6514112725245695</c:v>
                </c:pt>
                <c:pt idx="222">
                  <c:v>-5.6938348984967702</c:v>
                </c:pt>
                <c:pt idx="223">
                  <c:v>-5.7360599050138443</c:v>
                </c:pt>
                <c:pt idx="224">
                  <c:v>-5.7780880848560514</c:v>
                </c:pt>
                <c:pt idx="225">
                  <c:v>-5.8199212072513218</c:v>
                </c:pt>
                <c:pt idx="226">
                  <c:v>-6.2278974476717783</c:v>
                </c:pt>
                <c:pt idx="227">
                  <c:v>-6.6181537700929729</c:v>
                </c:pt>
                <c:pt idx="228">
                  <c:v>-6.9921269143656524</c:v>
                </c:pt>
                <c:pt idx="229">
                  <c:v>-7.3510893188814395</c:v>
                </c:pt>
                <c:pt idx="230">
                  <c:v>-7.6961728811825383</c:v>
                </c:pt>
                <c:pt idx="231">
                  <c:v>-8.0283886041608721</c:v>
                </c:pt>
                <c:pt idx="232">
                  <c:v>-8.3486429566559828</c:v>
                </c:pt>
                <c:pt idx="233">
                  <c:v>-8.6577515858095619</c:v>
                </c:pt>
                <c:pt idx="234">
                  <c:v>-8.9564508774620926</c:v>
                </c:pt>
                <c:pt idx="235">
                  <c:v>-9.2454077551534137</c:v>
                </c:pt>
                <c:pt idx="236">
                  <c:v>-9.5252280279277954</c:v>
                </c:pt>
                <c:pt idx="237">
                  <c:v>-9.7964635353251275</c:v>
                </c:pt>
                <c:pt idx="238">
                  <c:v>-10.059618289890246</c:v>
                </c:pt>
                <c:pt idx="239">
                  <c:v>-10.315153779847595</c:v>
                </c:pt>
                <c:pt idx="240">
                  <c:v>-10.56349356479333</c:v>
                </c:pt>
                <c:pt idx="241">
                  <c:v>-10.80502727353023</c:v>
                </c:pt>
                <c:pt idx="242">
                  <c:v>-11.040114094150555</c:v>
                </c:pt>
                <c:pt idx="243">
                  <c:v>-11.269085831133109</c:v>
                </c:pt>
                <c:pt idx="244">
                  <c:v>-11.49224959178029</c:v>
                </c:pt>
                <c:pt idx="245">
                  <c:v>-11.709890154178371</c:v>
                </c:pt>
                <c:pt idx="246">
                  <c:v>-11.922272060554262</c:v>
                </c:pt>
                <c:pt idx="247">
                  <c:v>-12.129641473061557</c:v>
                </c:pt>
                <c:pt idx="248">
                  <c:v>-12.332227823372881</c:v>
                </c:pt>
                <c:pt idx="249">
                  <c:v>-12.530245282759971</c:v>
                </c:pt>
                <c:pt idx="250">
                  <c:v>-12.723894075428108</c:v>
                </c:pt>
                <c:pt idx="251">
                  <c:v>-12.913361654596194</c:v>
                </c:pt>
                <c:pt idx="252">
                  <c:v>-13.098823758062149</c:v>
                </c:pt>
                <c:pt idx="253">
                  <c:v>-13.280445357674669</c:v>
                </c:pt>
                <c:pt idx="254">
                  <c:v>-13.458381515171201</c:v>
                </c:pt>
                <c:pt idx="255">
                  <c:v>-13.632778155178119</c:v>
                </c:pt>
                <c:pt idx="256">
                  <c:v>-13.803772764752884</c:v>
                </c:pt>
                <c:pt idx="257">
                  <c:v>-13.971495027639072</c:v>
                </c:pt>
                <c:pt idx="258">
                  <c:v>-14.136067400370102</c:v>
                </c:pt>
                <c:pt idx="259">
                  <c:v>-14.297605636468722</c:v>
                </c:pt>
                <c:pt idx="260">
                  <c:v>-14.456219264224412</c:v>
                </c:pt>
                <c:pt idx="261">
                  <c:v>-14.612012022870385</c:v>
                </c:pt>
                <c:pt idx="262">
                  <c:v>-14.765082261410495</c:v>
                </c:pt>
                <c:pt idx="263">
                  <c:v>-14.915523303850659</c:v>
                </c:pt>
                <c:pt idx="264">
                  <c:v>-15.063423784158376</c:v>
                </c:pt>
                <c:pt idx="265">
                  <c:v>-15.208867953898313</c:v>
                </c:pt>
                <c:pt idx="266">
                  <c:v>-15.351935965163822</c:v>
                </c:pt>
                <c:pt idx="267">
                  <c:v>-15.492704131137051</c:v>
                </c:pt>
                <c:pt idx="268">
                  <c:v>-15.63124516635844</c:v>
                </c:pt>
                <c:pt idx="269">
                  <c:v>-15.76762840856482</c:v>
                </c:pt>
                <c:pt idx="270">
                  <c:v>-15.901920023760601</c:v>
                </c:pt>
                <c:pt idx="271">
                  <c:v>-16.034183196014197</c:v>
                </c:pt>
                <c:pt idx="272">
                  <c:v>-16.164478303319857</c:v>
                </c:pt>
                <c:pt idx="273">
                  <c:v>-16.292863080730402</c:v>
                </c:pt>
                <c:pt idx="274">
                  <c:v>-16.419392771846798</c:v>
                </c:pt>
                <c:pt idx="275">
                  <c:v>-16.544120269644257</c:v>
                </c:pt>
                <c:pt idx="276">
                  <c:v>-16.667096247520178</c:v>
                </c:pt>
                <c:pt idx="277">
                  <c:v>-16.788369281364815</c:v>
                </c:pt>
                <c:pt idx="278">
                  <c:v>-16.90798596338027</c:v>
                </c:pt>
                <c:pt idx="279">
                  <c:v>-17.025991008306299</c:v>
                </c:pt>
                <c:pt idx="280">
                  <c:v>-17.142427352650877</c:v>
                </c:pt>
                <c:pt idx="281">
                  <c:v>-17.257336247469542</c:v>
                </c:pt>
                <c:pt idx="282">
                  <c:v>-17.370757345188931</c:v>
                </c:pt>
                <c:pt idx="283">
                  <c:v>-17.482728780926159</c:v>
                </c:pt>
                <c:pt idx="284">
                  <c:v>-17.593287248716432</c:v>
                </c:pt>
                <c:pt idx="285">
                  <c:v>-17.702468073025713</c:v>
                </c:pt>
                <c:pt idx="286">
                  <c:v>-17.810305275893178</c:v>
                </c:pt>
                <c:pt idx="287">
                  <c:v>-17.916831640019385</c:v>
                </c:pt>
                <c:pt idx="288">
                  <c:v>-18.022078768089568</c:v>
                </c:pt>
                <c:pt idx="289">
                  <c:v>-18.126077138597893</c:v>
                </c:pt>
                <c:pt idx="290">
                  <c:v>-18.228856158416889</c:v>
                </c:pt>
                <c:pt idx="291">
                  <c:v>-18.330444212336634</c:v>
                </c:pt>
                <c:pt idx="292">
                  <c:v>-18.430868709780313</c:v>
                </c:pt>
                <c:pt idx="293">
                  <c:v>-18.530156128886915</c:v>
                </c:pt>
                <c:pt idx="294">
                  <c:v>-18.628332058136522</c:v>
                </c:pt>
                <c:pt idx="295">
                  <c:v>-18.725421235680617</c:v>
                </c:pt>
                <c:pt idx="296">
                  <c:v>-18.821447586527078</c:v>
                </c:pt>
                <c:pt idx="297">
                  <c:v>-18.916434257718741</c:v>
                </c:pt>
                <c:pt idx="298">
                  <c:v>-19.010403651633528</c:v>
                </c:pt>
                <c:pt idx="299">
                  <c:v>-19.103377457525216</c:v>
                </c:pt>
                <c:pt idx="300">
                  <c:v>-19.195376681414871</c:v>
                </c:pt>
                <c:pt idx="301">
                  <c:v>-19.286421674435321</c:v>
                </c:pt>
                <c:pt idx="302">
                  <c:v>-19.376532159723389</c:v>
                </c:pt>
                <c:pt idx="303">
                  <c:v>-19.465727257948309</c:v>
                </c:pt>
                <c:pt idx="304">
                  <c:v>-19.554025511558255</c:v>
                </c:pt>
                <c:pt idx="305">
                  <c:v>-19.64144490782121</c:v>
                </c:pt>
                <c:pt idx="306">
                  <c:v>-19.728002900731564</c:v>
                </c:pt>
                <c:pt idx="307">
                  <c:v>-19.813716431848434</c:v>
                </c:pt>
                <c:pt idx="308">
                  <c:v>-19.898601950127595</c:v>
                </c:pt>
                <c:pt idx="309">
                  <c:v>-19.982675430804754</c:v>
                </c:pt>
                <c:pt idx="310">
                  <c:v>-20.065952393383952</c:v>
                </c:pt>
                <c:pt idx="311">
                  <c:v>-20.148447918781443</c:v>
                </c:pt>
                <c:pt idx="312">
                  <c:v>-20.230176665672129</c:v>
                </c:pt>
                <c:pt idx="313">
                  <c:v>-20.311152886082567</c:v>
                </c:pt>
                <c:pt idx="314">
                  <c:v>-20.391390440271842</c:v>
                </c:pt>
                <c:pt idx="315">
                  <c:v>-20.470902810938792</c:v>
                </c:pt>
                <c:pt idx="316">
                  <c:v>-20.549703116791971</c:v>
                </c:pt>
                <c:pt idx="317">
                  <c:v>-20.627804125516143</c:v>
                </c:pt>
                <c:pt idx="318">
                  <c:v>-20.705218266167279</c:v>
                </c:pt>
                <c:pt idx="319">
                  <c:v>-20.781957641025986</c:v>
                </c:pt>
                <c:pt idx="320">
                  <c:v>-20.858034036937386</c:v>
                </c:pt>
                <c:pt idx="321">
                  <c:v>-20.933458936164008</c:v>
                </c:pt>
                <c:pt idx="322">
                  <c:v>-21.008243526776418</c:v>
                </c:pt>
                <c:pt idx="323">
                  <c:v>-21.082398712605102</c:v>
                </c:pt>
                <c:pt idx="324">
                  <c:v>-21.155935122775507</c:v>
                </c:pt>
                <c:pt idx="325">
                  <c:v>-21.228863120847137</c:v>
                </c:pt>
                <c:pt idx="326">
                  <c:v>-21.301192813576058</c:v>
                </c:pt>
                <c:pt idx="327">
                  <c:v>-21.372934059319448</c:v>
                </c:pt>
                <c:pt idx="328">
                  <c:v>-21.444096476099453</c:v>
                </c:pt>
                <c:pt idx="329">
                  <c:v>-21.514689449342814</c:v>
                </c:pt>
                <c:pt idx="330">
                  <c:v>-21.584722139311786</c:v>
                </c:pt>
                <c:pt idx="331">
                  <c:v>-21.654203488240952</c:v>
                </c:pt>
                <c:pt idx="332">
                  <c:v>-21.723142227193769</c:v>
                </c:pt>
                <c:pt idx="333">
                  <c:v>-21.791546882652039</c:v>
                </c:pt>
                <c:pt idx="334">
                  <c:v>-21.859425782850501</c:v>
                </c:pt>
                <c:pt idx="335">
                  <c:v>-21.926787063868453</c:v>
                </c:pt>
                <c:pt idx="336">
                  <c:v>-21.993638675489375</c:v>
                </c:pt>
                <c:pt idx="337">
                  <c:v>-22.059988386839091</c:v>
                </c:pt>
                <c:pt idx="338">
                  <c:v>-22.125843791812482</c:v>
                </c:pt>
                <c:pt idx="339">
                  <c:v>-22.191212314298081</c:v>
                </c:pt>
                <c:pt idx="340">
                  <c:v>-22.256101213209639</c:v>
                </c:pt>
                <c:pt idx="341">
                  <c:v>-22.320517587333001</c:v>
                </c:pt>
                <c:pt idx="342">
                  <c:v>-22.38446837999653</c:v>
                </c:pt>
                <c:pt idx="343">
                  <c:v>-22.447960383572543</c:v>
                </c:pt>
                <c:pt idx="344">
                  <c:v>-22.511000243817204</c:v>
                </c:pt>
                <c:pt idx="345">
                  <c:v>-22.573594464055653</c:v>
                </c:pt>
                <c:pt idx="346">
                  <c:v>-22.635749409218995</c:v>
                </c:pt>
                <c:pt idx="347">
                  <c:v>-22.697471309739427</c:v>
                </c:pt>
                <c:pt idx="348">
                  <c:v>-22.758766265309312</c:v>
                </c:pt>
                <c:pt idx="349">
                  <c:v>-22.819640248510026</c:v>
                </c:pt>
                <c:pt idx="350">
                  <c:v>-22.880099108315846</c:v>
                </c:pt>
                <c:pt idx="351">
                  <c:v>-22.940148573477941</c:v>
                </c:pt>
                <c:pt idx="352">
                  <c:v>-22.999794255793596</c:v>
                </c:pt>
                <c:pt idx="353">
                  <c:v>-23.059041653264973</c:v>
                </c:pt>
                <c:pt idx="354">
                  <c:v>-23.117896153152145</c:v>
                </c:pt>
                <c:pt idx="355">
                  <c:v>-23.176363034924439</c:v>
                </c:pt>
                <c:pt idx="356">
                  <c:v>-23.234447473114198</c:v>
                </c:pt>
                <c:pt idx="357">
                  <c:v>-23.29215454007678</c:v>
                </c:pt>
                <c:pt idx="358">
                  <c:v>-23.349489208660504</c:v>
                </c:pt>
                <c:pt idx="359">
                  <c:v>-23.406456354789945</c:v>
                </c:pt>
                <c:pt idx="360">
                  <c:v>-23.46306075996608</c:v>
                </c:pt>
                <c:pt idx="361">
                  <c:v>-23.51930711368631</c:v>
                </c:pt>
                <c:pt idx="362">
                  <c:v>-23.575200015787566</c:v>
                </c:pt>
                <c:pt idx="363">
                  <c:v>-23.63074397871528</c:v>
                </c:pt>
                <c:pt idx="364">
                  <c:v>-23.685943429721121</c:v>
                </c:pt>
                <c:pt idx="365">
                  <c:v>-23.740802712992117</c:v>
                </c:pt>
                <c:pt idx="366">
                  <c:v>-23.795326091713669</c:v>
                </c:pt>
                <c:pt idx="367">
                  <c:v>-23.849517750069062</c:v>
                </c:pt>
                <c:pt idx="368">
                  <c:v>-23.903381795177534</c:v>
                </c:pt>
                <c:pt idx="369">
                  <c:v>-23.956922258973464</c:v>
                </c:pt>
                <c:pt idx="370">
                  <c:v>-24.010143100028586</c:v>
                </c:pt>
                <c:pt idx="371">
                  <c:v>-24.063048205319323</c:v>
                </c:pt>
                <c:pt idx="372">
                  <c:v>-24.115641391941374</c:v>
                </c:pt>
                <c:pt idx="373">
                  <c:v>-24.167926408773166</c:v>
                </c:pt>
                <c:pt idx="374">
                  <c:v>-24.21990693809024</c:v>
                </c:pt>
                <c:pt idx="375">
                  <c:v>-24.271586597132121</c:v>
                </c:pt>
                <c:pt idx="376">
                  <c:v>-24.322968939623429</c:v>
                </c:pt>
                <c:pt idx="377">
                  <c:v>-24.374057457250771</c:v>
                </c:pt>
                <c:pt idx="378">
                  <c:v>-24.424855581097077</c:v>
                </c:pt>
                <c:pt idx="379">
                  <c:v>-24.475366683034579</c:v>
                </c:pt>
                <c:pt idx="380">
                  <c:v>-24.52559407707815</c:v>
                </c:pt>
                <c:pt idx="381">
                  <c:v>-24.575541020700168</c:v>
                </c:pt>
                <c:pt idx="382">
                  <c:v>-24.625210716108246</c:v>
                </c:pt>
                <c:pt idx="383">
                  <c:v>-24.674606311487114</c:v>
                </c:pt>
                <c:pt idx="384">
                  <c:v>-24.723730902205801</c:v>
                </c:pt>
                <c:pt idx="385">
                  <c:v>-24.772587531991334</c:v>
                </c:pt>
                <c:pt idx="386">
                  <c:v>-24.821179194069988</c:v>
                </c:pt>
                <c:pt idx="387">
                  <c:v>-24.869508832277244</c:v>
                </c:pt>
                <c:pt idx="388">
                  <c:v>-24.917579342137401</c:v>
                </c:pt>
                <c:pt idx="389">
                  <c:v>-24.965393571913829</c:v>
                </c:pt>
                <c:pt idx="390">
                  <c:v>-25.012954323630964</c:v>
                </c:pt>
                <c:pt idx="391">
                  <c:v>-25.060264354068671</c:v>
                </c:pt>
                <c:pt idx="392">
                  <c:v>-25.107326375730214</c:v>
                </c:pt>
                <c:pt idx="393">
                  <c:v>-25.154143057784317</c:v>
                </c:pt>
                <c:pt idx="394">
                  <c:v>-25.200717026982428</c:v>
                </c:pt>
                <c:pt idx="395">
                  <c:v>-25.247050868551831</c:v>
                </c:pt>
                <c:pt idx="396">
                  <c:v>-25.2931471270653</c:v>
                </c:pt>
                <c:pt idx="397">
                  <c:v>-25.33900830728826</c:v>
                </c:pt>
                <c:pt idx="398">
                  <c:v>-25.384636875003864</c:v>
                </c:pt>
                <c:pt idx="399">
                  <c:v>-25.430035257816897</c:v>
                </c:pt>
                <c:pt idx="400">
                  <c:v>-25.475205845937019</c:v>
                </c:pt>
                <c:pt idx="401">
                  <c:v>-25.520150992942099</c:v>
                </c:pt>
                <c:pt idx="402">
                  <c:v>-25.564873016522107</c:v>
                </c:pt>
                <c:pt idx="403">
                  <c:v>-25.609374199204215</c:v>
                </c:pt>
                <c:pt idx="404">
                  <c:v>-25.653656789059809</c:v>
                </c:pt>
                <c:pt idx="405">
                  <c:v>-25.697723000393673</c:v>
                </c:pt>
                <c:pt idx="406">
                  <c:v>-25.741575014416078</c:v>
                </c:pt>
                <c:pt idx="407">
                  <c:v>-25.785214979898342</c:v>
                </c:pt>
                <c:pt idx="408">
                  <c:v>-25.828645013812061</c:v>
                </c:pt>
                <c:pt idx="409">
                  <c:v>-25.871867201952838</c:v>
                </c:pt>
                <c:pt idx="410">
                  <c:v>-25.914883599548691</c:v>
                </c:pt>
                <c:pt idx="411">
                  <c:v>-25.957696231853774</c:v>
                </c:pt>
                <c:pt idx="412">
                  <c:v>-26.000307094727681</c:v>
                </c:pt>
                <c:pt idx="413">
                  <c:v>-26.042718155200891</c:v>
                </c:pt>
                <c:pt idx="414">
                  <c:v>-26.084931352026651</c:v>
                </c:pt>
                <c:pt idx="415">
                  <c:v>-26.12694859621973</c:v>
                </c:pt>
                <c:pt idx="416">
                  <c:v>-26.168771771582389</c:v>
                </c:pt>
                <c:pt idx="417">
                  <c:v>-26.210402735217983</c:v>
                </c:pt>
                <c:pt idx="418">
                  <c:v>-26.251843318032471</c:v>
                </c:pt>
                <c:pt idx="419">
                  <c:v>-26.293095325224197</c:v>
                </c:pt>
                <c:pt idx="420">
                  <c:v>-26.334160536762354</c:v>
                </c:pt>
                <c:pt idx="421">
                  <c:v>-26.375040707854286</c:v>
                </c:pt>
                <c:pt idx="422">
                  <c:v>-26.415737569402044</c:v>
                </c:pt>
                <c:pt idx="423">
                  <c:v>-26.456252828448548</c:v>
                </c:pt>
                <c:pt idx="424">
                  <c:v>-26.496588168613421</c:v>
                </c:pt>
                <c:pt idx="425">
                  <c:v>-26.53674525051904</c:v>
                </c:pt>
                <c:pt idx="426">
                  <c:v>-26.576725712206873</c:v>
                </c:pt>
                <c:pt idx="427">
                  <c:v>-26.616531169544491</c:v>
                </c:pt>
                <c:pt idx="428">
                  <c:v>-26.656163216623408</c:v>
                </c:pt>
                <c:pt idx="429">
                  <c:v>-26.69562342614806</c:v>
                </c:pt>
                <c:pt idx="430">
                  <c:v>-26.734913349816139</c:v>
                </c:pt>
                <c:pt idx="431">
                  <c:v>-26.774034518690534</c:v>
                </c:pt>
                <c:pt idx="432">
                  <c:v>-26.81298844356299</c:v>
                </c:pt>
                <c:pt idx="433">
                  <c:v>-26.85177661530993</c:v>
                </c:pt>
                <c:pt idx="434">
                  <c:v>-26.89040050524039</c:v>
                </c:pt>
                <c:pt idx="435">
                  <c:v>-26.928861565436435</c:v>
                </c:pt>
                <c:pt idx="436">
                  <c:v>-26.967161229086187</c:v>
                </c:pt>
                <c:pt idx="437">
                  <c:v>-27.005300910809741</c:v>
                </c:pt>
                <c:pt idx="438">
                  <c:v>-27.043282006977947</c:v>
                </c:pt>
                <c:pt idx="439">
                  <c:v>-27.081105896024546</c:v>
                </c:pt>
                <c:pt idx="440">
                  <c:v>-27.118773938751541</c:v>
                </c:pt>
                <c:pt idx="441">
                  <c:v>-27.156287478628151</c:v>
                </c:pt>
                <c:pt idx="442">
                  <c:v>-27.193647842083429</c:v>
                </c:pt>
                <c:pt idx="443">
                  <c:v>-27.230856338792751</c:v>
                </c:pt>
                <c:pt idx="444">
                  <c:v>-27.267914261958317</c:v>
                </c:pt>
                <c:pt idx="445">
                  <c:v>-27.304822888583807</c:v>
                </c:pt>
                <c:pt idx="446">
                  <c:v>-27.341583479743257</c:v>
                </c:pt>
                <c:pt idx="447">
                  <c:v>-27.378197280844532</c:v>
                </c:pt>
                <c:pt idx="448">
                  <c:v>-27.41466552188724</c:v>
                </c:pt>
                <c:pt idx="449">
                  <c:v>-27.450989417715427</c:v>
                </c:pt>
                <c:pt idx="450">
                  <c:v>-27.487170168265088</c:v>
                </c:pt>
                <c:pt idx="451">
                  <c:v>-27.523208958806663</c:v>
                </c:pt>
                <c:pt idx="452">
                  <c:v>-27.5591069601826</c:v>
                </c:pt>
                <c:pt idx="453">
                  <c:v>-27.594865329040175</c:v>
                </c:pt>
                <c:pt idx="454">
                  <c:v>-27.630485208059564</c:v>
                </c:pt>
                <c:pt idx="455">
                  <c:v>-27.665967726177399</c:v>
                </c:pt>
                <c:pt idx="456">
                  <c:v>-27.701313998805897</c:v>
                </c:pt>
                <c:pt idx="457">
                  <c:v>-27.736525128047536</c:v>
                </c:pt>
                <c:pt idx="458">
                  <c:v>-27.77160220290563</c:v>
                </c:pt>
                <c:pt idx="459">
                  <c:v>-27.80654629949062</c:v>
                </c:pt>
                <c:pt idx="460">
                  <c:v>-27.841358481222422</c:v>
                </c:pt>
                <c:pt idx="461">
                  <c:v>-27.87603979902876</c:v>
                </c:pt>
                <c:pt idx="462">
                  <c:v>-27.910591291539664</c:v>
                </c:pt>
                <c:pt idx="463">
                  <c:v>-27.945013985278205</c:v>
                </c:pt>
                <c:pt idx="464">
                  <c:v>-27.979308894847513</c:v>
                </c:pt>
                <c:pt idx="465">
                  <c:v>-28.013477023114245</c:v>
                </c:pt>
                <c:pt idx="466">
                  <c:v>-28.047519361388488</c:v>
                </c:pt>
                <c:pt idx="467">
                  <c:v>-28.081436889600262</c:v>
                </c:pt>
                <c:pt idx="468">
                  <c:v>-28.115230576472658</c:v>
                </c:pt>
                <c:pt idx="469">
                  <c:v>-28.148901379691701</c:v>
                </c:pt>
                <c:pt idx="470">
                  <c:v>-28.182450246072968</c:v>
                </c:pt>
                <c:pt idx="471">
                  <c:v>-28.215878111725132</c:v>
                </c:pt>
                <c:pt idx="472">
                  <c:v>-28.249185902210407</c:v>
                </c:pt>
                <c:pt idx="473">
                  <c:v>-28.282374532702015</c:v>
                </c:pt>
                <c:pt idx="474">
                  <c:v>-28.315444908138684</c:v>
                </c:pt>
                <c:pt idx="475">
                  <c:v>-28.348397923376361</c:v>
                </c:pt>
                <c:pt idx="476">
                  <c:v>-28.381234463337041</c:v>
                </c:pt>
                <c:pt idx="477">
                  <c:v>-28.413955403154919</c:v>
                </c:pt>
                <c:pt idx="478">
                  <c:v>-28.446561608319829</c:v>
                </c:pt>
                <c:pt idx="479">
                  <c:v>-28.479053934818111</c:v>
                </c:pt>
                <c:pt idx="480">
                  <c:v>-28.511433229270825</c:v>
                </c:pt>
                <c:pt idx="481">
                  <c:v>-28.54370032906958</c:v>
                </c:pt>
                <c:pt idx="482">
                  <c:v>-28.575856062509818</c:v>
                </c:pt>
                <c:pt idx="483">
                  <c:v>-28.607901248921724</c:v>
                </c:pt>
                <c:pt idx="484">
                  <c:v>-28.63983669879881</c:v>
                </c:pt>
                <c:pt idx="485">
                  <c:v>-28.671663213924194</c:v>
                </c:pt>
                <c:pt idx="486">
                  <c:v>-28.703381587494597</c:v>
                </c:pt>
                <c:pt idx="487">
                  <c:v>-28.734992604242198</c:v>
                </c:pt>
                <c:pt idx="488">
                  <c:v>-28.766497040554306</c:v>
                </c:pt>
                <c:pt idx="489">
                  <c:v>-28.797895664590886</c:v>
                </c:pt>
                <c:pt idx="490">
                  <c:v>-28.829189236400111</c:v>
                </c:pt>
                <c:pt idx="491">
                  <c:v>-28.860378508031808</c:v>
                </c:pt>
                <c:pt idx="492">
                  <c:v>-28.891464223648974</c:v>
                </c:pt>
                <c:pt idx="493">
                  <c:v>-28.922447119637336</c:v>
                </c:pt>
                <c:pt idx="494">
                  <c:v>-28.95332792471304</c:v>
                </c:pt>
                <c:pt idx="495">
                  <c:v>-28.984107360028428</c:v>
                </c:pt>
                <c:pt idx="496">
                  <c:v>-29.014786139276065</c:v>
                </c:pt>
                <c:pt idx="497">
                  <c:v>-29.045364968790956</c:v>
                </c:pt>
                <c:pt idx="498">
                  <c:v>-29.07584454765097</c:v>
                </c:pt>
                <c:pt idx="499">
                  <c:v>-29.106225567775645</c:v>
                </c:pt>
                <c:pt idx="500">
                  <c:v>-29.136508714023254</c:v>
                </c:pt>
                <c:pt idx="501">
                  <c:v>-29.166694664286243</c:v>
                </c:pt>
                <c:pt idx="502">
                  <c:v>-29.19678408958508</c:v>
                </c:pt>
                <c:pt idx="503">
                  <c:v>-29.226777654160493</c:v>
                </c:pt>
                <c:pt idx="504">
                  <c:v>-29.256676015564224</c:v>
                </c:pt>
                <c:pt idx="505">
                  <c:v>-29.286479824748199</c:v>
                </c:pt>
                <c:pt idx="506">
                  <c:v>-29.316189726152267</c:v>
                </c:pt>
                <c:pt idx="507">
                  <c:v>-29.345806357790458</c:v>
                </c:pt>
                <c:pt idx="508">
                  <c:v>-29.375330351335869</c:v>
                </c:pt>
                <c:pt idx="509">
                  <c:v>-29.404762332204033</c:v>
                </c:pt>
                <c:pt idx="510">
                  <c:v>-29.434102919635098</c:v>
                </c:pt>
                <c:pt idx="511">
                  <c:v>-29.463352726774474</c:v>
                </c:pt>
                <c:pt idx="512">
                  <c:v>-29.492512360752322</c:v>
                </c:pt>
                <c:pt idx="513">
                  <c:v>-29.521582422761661</c:v>
                </c:pt>
                <c:pt idx="514">
                  <c:v>-29.550563508135248</c:v>
                </c:pt>
                <c:pt idx="515">
                  <c:v>-29.579456206421174</c:v>
                </c:pt>
                <c:pt idx="516">
                  <c:v>-29.608261101457323</c:v>
                </c:pt>
                <c:pt idx="517">
                  <c:v>-29.636978771444561</c:v>
                </c:pt>
                <c:pt idx="518">
                  <c:v>-29.665609789018795</c:v>
                </c:pt>
                <c:pt idx="519">
                  <c:v>-29.694154721321873</c:v>
                </c:pt>
                <c:pt idx="520">
                  <c:v>-29.722614130071353</c:v>
                </c:pt>
                <c:pt idx="521">
                  <c:v>-29.750988571629186</c:v>
                </c:pt>
                <c:pt idx="522">
                  <c:v>-29.779278597069293</c:v>
                </c:pt>
                <c:pt idx="523">
                  <c:v>-29.807484752244093</c:v>
                </c:pt>
                <c:pt idx="524">
                  <c:v>-29.835607577849991</c:v>
                </c:pt>
                <c:pt idx="525">
                  <c:v>-29.863647609491824</c:v>
                </c:pt>
                <c:pt idx="526">
                  <c:v>-29.891605377746306</c:v>
                </c:pt>
                <c:pt idx="527">
                  <c:v>-29.919481408224531</c:v>
                </c:pt>
                <c:pt idx="528">
                  <c:v>-29.947276221633452</c:v>
                </c:pt>
                <c:pt idx="529">
                  <c:v>-29.974990333836402</c:v>
                </c:pt>
                <c:pt idx="530">
                  <c:v>-30.002624255912771</c:v>
                </c:pt>
                <c:pt idx="531">
                  <c:v>-30.030178494216656</c:v>
                </c:pt>
                <c:pt idx="532">
                  <c:v>-30.057653550434718</c:v>
                </c:pt>
                <c:pt idx="533">
                  <c:v>-30.085049921643048</c:v>
                </c:pt>
                <c:pt idx="534">
                  <c:v>-30.112368100363284</c:v>
                </c:pt>
                <c:pt idx="535">
                  <c:v>-30.139608574617785</c:v>
                </c:pt>
                <c:pt idx="536">
                  <c:v>-30.166771827984007</c:v>
                </c:pt>
                <c:pt idx="537">
                  <c:v>-30.193858339648084</c:v>
                </c:pt>
                <c:pt idx="538">
                  <c:v>-30.220868584457541</c:v>
                </c:pt>
                <c:pt idx="539">
                  <c:v>-30.247803032973298</c:v>
                </c:pt>
                <c:pt idx="540">
                  <c:v>-30.274662151520818</c:v>
                </c:pt>
                <c:pt idx="541">
                  <c:v>-30.301446402240551</c:v>
                </c:pt>
                <c:pt idx="542">
                  <c:v>-30.32815624313762</c:v>
                </c:pt>
                <c:pt idx="543">
                  <c:v>-30.354792128130711</c:v>
                </c:pt>
                <c:pt idx="544">
                  <c:v>-30.381354507100369</c:v>
                </c:pt>
                <c:pt idx="545">
                  <c:v>-30.407843825936425</c:v>
                </c:pt>
                <c:pt idx="546">
                  <c:v>-30.434260526584886</c:v>
                </c:pt>
                <c:pt idx="547">
                  <c:v>-30.460605047093978</c:v>
                </c:pt>
                <c:pt idx="548">
                  <c:v>-30.486877821659672</c:v>
                </c:pt>
                <c:pt idx="549">
                  <c:v>-30.51307928067046</c:v>
                </c:pt>
                <c:pt idx="550">
                  <c:v>-30.539209850751465</c:v>
                </c:pt>
                <c:pt idx="551">
                  <c:v>-30.565269954807977</c:v>
                </c:pt>
                <c:pt idx="552">
                  <c:v>-30.591260012068339</c:v>
                </c:pt>
                <c:pt idx="553">
                  <c:v>-30.617180438126198</c:v>
                </c:pt>
                <c:pt idx="554">
                  <c:v>-30.643031644982138</c:v>
                </c:pt>
                <c:pt idx="555">
                  <c:v>-30.66881404108479</c:v>
                </c:pt>
                <c:pt idx="556">
                  <c:v>-30.694528031371277</c:v>
                </c:pt>
                <c:pt idx="557">
                  <c:v>-30.720174017307109</c:v>
                </c:pt>
                <c:pt idx="558">
                  <c:v>-30.74575239692555</c:v>
                </c:pt>
                <c:pt idx="559">
                  <c:v>-30.771263564866366</c:v>
                </c:pt>
                <c:pt idx="560">
                  <c:v>-30.796707912414071</c:v>
                </c:pt>
                <c:pt idx="561">
                  <c:v>-30.822085827535641</c:v>
                </c:pt>
                <c:pt idx="562">
                  <c:v>-30.84739769491766</c:v>
                </c:pt>
                <c:pt idx="563">
                  <c:v>-30.872643896002977</c:v>
                </c:pt>
                <c:pt idx="564">
                  <c:v>-30.897824809026829</c:v>
                </c:pt>
                <c:pt idx="565">
                  <c:v>-30.922940809052516</c:v>
                </c:pt>
                <c:pt idx="566">
                  <c:v>-30.947992268006502</c:v>
                </c:pt>
                <c:pt idx="567">
                  <c:v>-30.972979554713106</c:v>
                </c:pt>
                <c:pt idx="568">
                  <c:v>-30.997903034928655</c:v>
                </c:pt>
                <c:pt idx="569">
                  <c:v>-31.022763071375202</c:v>
                </c:pt>
                <c:pt idx="570">
                  <c:v>-31.047560023773791</c:v>
                </c:pt>
                <c:pt idx="571">
                  <c:v>-31.072294248877238</c:v>
                </c:pt>
                <c:pt idx="572">
                  <c:v>-31.096966100502456</c:v>
                </c:pt>
                <c:pt idx="573">
                  <c:v>-31.121575929562411</c:v>
                </c:pt>
                <c:pt idx="574">
                  <c:v>-31.146124084097554</c:v>
                </c:pt>
                <c:pt idx="575">
                  <c:v>-31.170610909306895</c:v>
                </c:pt>
                <c:pt idx="576">
                  <c:v>-31.195036747578612</c:v>
                </c:pt>
                <c:pt idx="577">
                  <c:v>-31.219401938520303</c:v>
                </c:pt>
                <c:pt idx="578">
                  <c:v>-31.24370681898877</c:v>
                </c:pt>
                <c:pt idx="579">
                  <c:v>-31.267951723119431</c:v>
                </c:pt>
                <c:pt idx="580">
                  <c:v>-31.292136982355373</c:v>
                </c:pt>
                <c:pt idx="581">
                  <c:v>-31.316262925475982</c:v>
                </c:pt>
                <c:pt idx="582">
                  <c:v>-31.340329878625163</c:v>
                </c:pt>
                <c:pt idx="583">
                  <c:v>-31.364338165339266</c:v>
                </c:pt>
                <c:pt idx="584">
                  <c:v>-31.388288106574585</c:v>
                </c:pt>
                <c:pt idx="585">
                  <c:v>-31.41218002073451</c:v>
                </c:pt>
                <c:pt idx="586">
                  <c:v>-31.436014223696318</c:v>
                </c:pt>
                <c:pt idx="587">
                  <c:v>-31.459791028837643</c:v>
                </c:pt>
                <c:pt idx="588">
                  <c:v>-31.483510747062539</c:v>
                </c:pt>
                <c:pt idx="589">
                  <c:v>-31.507173686827272</c:v>
                </c:pt>
                <c:pt idx="590">
                  <c:v>-31.530780154165733</c:v>
                </c:pt>
                <c:pt idx="591">
                  <c:v>-31.554330452714538</c:v>
                </c:pt>
                <c:pt idx="592">
                  <c:v>-31.57782488373779</c:v>
                </c:pt>
                <c:pt idx="593">
                  <c:v>-31.601263746151549</c:v>
                </c:pt>
                <c:pt idx="594">
                  <c:v>-31.624647336547966</c:v>
                </c:pt>
                <c:pt idx="595">
                  <c:v>-31.647975949219092</c:v>
                </c:pt>
                <c:pt idx="596">
                  <c:v>-31.671249876180447</c:v>
                </c:pt>
                <c:pt idx="597">
                  <c:v>-31.694469407194163</c:v>
                </c:pt>
                <c:pt idx="598">
                  <c:v>-31.717634829792026</c:v>
                </c:pt>
                <c:pt idx="599">
                  <c:v>-31.740746429298021</c:v>
                </c:pt>
                <c:pt idx="600">
                  <c:v>-31.763804488850703</c:v>
                </c:pt>
                <c:pt idx="601">
                  <c:v>-31.786809289425303</c:v>
                </c:pt>
                <c:pt idx="602">
                  <c:v>-31.809761109855479</c:v>
                </c:pt>
                <c:pt idx="603">
                  <c:v>-31.832660226854863</c:v>
                </c:pt>
                <c:pt idx="604">
                  <c:v>-31.855506915038259</c:v>
                </c:pt>
                <c:pt idx="605">
                  <c:v>-31.878301446942693</c:v>
                </c:pt>
                <c:pt idx="606">
                  <c:v>-32.957002906555701</c:v>
                </c:pt>
                <c:pt idx="607">
                  <c:v>-33.933555227643417</c:v>
                </c:pt>
                <c:pt idx="608">
                  <c:v>-34.828303372206911</c:v>
                </c:pt>
                <c:pt idx="609">
                  <c:v>-35.656192372653223</c:v>
                </c:pt>
                <c:pt idx="610">
                  <c:v>-36.428499301964948</c:v>
                </c:pt>
                <c:pt idx="611">
                  <c:v>-37.153922769848364</c:v>
                </c:pt>
                <c:pt idx="612">
                  <c:v>-37.839296584700655</c:v>
                </c:pt>
                <c:pt idx="613">
                  <c:v>-38.49007338021574</c:v>
                </c:pt>
                <c:pt idx="614">
                  <c:v>-39.110661962344992</c:v>
                </c:pt>
                <c:pt idx="615">
                  <c:v>-39.704668541541807</c:v>
                </c:pt>
                <c:pt idx="616">
                  <c:v>-40.275072992092483</c:v>
                </c:pt>
                <c:pt idx="617">
                  <c:v>-40.824360082571083</c:v>
                </c:pt>
                <c:pt idx="618">
                  <c:v>-41.038641432884361</c:v>
                </c:pt>
                <c:pt idx="619">
                  <c:v>-41.250000313975747</c:v>
                </c:pt>
                <c:pt idx="620">
                  <c:v>-41.458547767703429</c:v>
                </c:pt>
                <c:pt idx="621">
                  <c:v>-41.66438794816321</c:v>
                </c:pt>
                <c:pt idx="622">
                  <c:v>-41.867618653521752</c:v>
                </c:pt>
                <c:pt idx="623">
                  <c:v>-42.068331809800128</c:v>
                </c:pt>
                <c:pt idx="624">
                  <c:v>-42.266613911649458</c:v>
                </c:pt>
                <c:pt idx="625">
                  <c:v>-42.462546424551817</c:v>
                </c:pt>
                <c:pt idx="626">
                  <c:v>-42.656206152353448</c:v>
                </c:pt>
                <c:pt idx="627">
                  <c:v>-42.847665573581864</c:v>
                </c:pt>
                <c:pt idx="628">
                  <c:v>-43.036993149603866</c:v>
                </c:pt>
                <c:pt idx="629">
                  <c:v>-43.224253607336678</c:v>
                </c:pt>
                <c:pt idx="630">
                  <c:v>-43.409508198925202</c:v>
                </c:pt>
                <c:pt idx="631">
                  <c:v>-43.592814940535305</c:v>
                </c:pt>
                <c:pt idx="632">
                  <c:v>-43.774228832183468</c:v>
                </c:pt>
                <c:pt idx="633">
                  <c:v>-43.953802060320903</c:v>
                </c:pt>
                <c:pt idx="634">
                  <c:v>-44.131584184712253</c:v>
                </c:pt>
                <c:pt idx="635">
                  <c:v>-44.307622310991974</c:v>
                </c:pt>
                <c:pt idx="636">
                  <c:v>-44.48196125014276</c:v>
                </c:pt>
                <c:pt idx="637">
                  <c:v>-44.654643666017357</c:v>
                </c:pt>
                <c:pt idx="638">
                  <c:v>-44.825710211915606</c:v>
                </c:pt>
                <c:pt idx="639">
                  <c:v>-44.99519965713197</c:v>
                </c:pt>
                <c:pt idx="640">
                  <c:v>-45.163149004301523</c:v>
                </c:pt>
                <c:pt idx="641">
                  <c:v>-45.329593598295872</c:v>
                </c:pt>
                <c:pt idx="642">
                  <c:v>-45.494567227350643</c:v>
                </c:pt>
                <c:pt idx="643">
                  <c:v>-45.658102217044686</c:v>
                </c:pt>
                <c:pt idx="644">
                  <c:v>-45.820229517695488</c:v>
                </c:pt>
                <c:pt idx="645">
                  <c:v>-45.980978785685252</c:v>
                </c:pt>
                <c:pt idx="646">
                  <c:v>-46.140378459187268</c:v>
                </c:pt>
                <c:pt idx="647">
                  <c:v>-46.298455828721472</c:v>
                </c:pt>
                <c:pt idx="648">
                  <c:v>-46.455237102931797</c:v>
                </c:pt>
                <c:pt idx="649">
                  <c:v>-46.610747469944414</c:v>
                </c:pt>
                <c:pt idx="650">
                  <c:v>-46.765011154636504</c:v>
                </c:pt>
                <c:pt idx="651">
                  <c:v>-46.918051472117511</c:v>
                </c:pt>
                <c:pt idx="652">
                  <c:v>-47.069890877700487</c:v>
                </c:pt>
                <c:pt idx="653">
                  <c:v>-47.220551013618717</c:v>
                </c:pt>
                <c:pt idx="654">
                  <c:v>-47.370052752722231</c:v>
                </c:pt>
                <c:pt idx="655">
                  <c:v>-47.518416239370289</c:v>
                </c:pt>
                <c:pt idx="656">
                  <c:v>-47.665660927719216</c:v>
                </c:pt>
                <c:pt idx="657">
                  <c:v>-47.811805617588888</c:v>
                </c:pt>
                <c:pt idx="658">
                  <c:v>-47.956868488077795</c:v>
                </c:pt>
                <c:pt idx="659">
                  <c:v>-48.100867129082907</c:v>
                </c:pt>
                <c:pt idx="660">
                  <c:v>-48.243818570869237</c:v>
                </c:pt>
                <c:pt idx="661">
                  <c:v>-48.385739311822903</c:v>
                </c:pt>
                <c:pt idx="662">
                  <c:v>-48.52664534451138</c:v>
                </c:pt>
                <c:pt idx="663">
                  <c:v>-48.666552180165851</c:v>
                </c:pt>
                <c:pt idx="664">
                  <c:v>-48.805474871691686</c:v>
                </c:pt>
                <c:pt idx="665">
                  <c:v>-48.943428035305715</c:v>
                </c:pt>
                <c:pt idx="666">
                  <c:v>-49.080425870891546</c:v>
                </c:pt>
                <c:pt idx="667">
                  <c:v>-49.216482181157666</c:v>
                </c:pt>
              </c:numCache>
            </c:numRef>
          </c:yVal>
          <c:smooth val="0"/>
          <c:extLst>
            <c:ext xmlns:c16="http://schemas.microsoft.com/office/drawing/2014/chart" uri="{C3380CC4-5D6E-409C-BE32-E72D297353CC}">
              <c16:uniqueId val="{00000000-D6EE-4DCC-8A11-B110CFB8CEB8}"/>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79.896787728566849</c:v>
                </c:pt>
                <c:pt idx="1">
                  <c:v>79.408189952245408</c:v>
                </c:pt>
                <c:pt idx="2">
                  <c:v>78.699161610637987</c:v>
                </c:pt>
                <c:pt idx="3">
                  <c:v>77.868151404294508</c:v>
                </c:pt>
                <c:pt idx="4">
                  <c:v>76.990655506411656</c:v>
                </c:pt>
                <c:pt idx="5">
                  <c:v>76.114265372190488</c:v>
                </c:pt>
                <c:pt idx="6">
                  <c:v>75.265070306613424</c:v>
                </c:pt>
                <c:pt idx="7">
                  <c:v>74.455469279605609</c:v>
                </c:pt>
                <c:pt idx="8">
                  <c:v>73.689991069442954</c:v>
                </c:pt>
                <c:pt idx="9">
                  <c:v>72.968941948563725</c:v>
                </c:pt>
                <c:pt idx="10">
                  <c:v>67.635091537292581</c:v>
                </c:pt>
                <c:pt idx="11">
                  <c:v>64.254439375647522</c:v>
                </c:pt>
                <c:pt idx="12">
                  <c:v>61.807562685916231</c:v>
                </c:pt>
                <c:pt idx="13">
                  <c:v>59.895120778666886</c:v>
                </c:pt>
                <c:pt idx="14">
                  <c:v>58.327175262085717</c:v>
                </c:pt>
                <c:pt idx="15">
                  <c:v>56.999414736801135</c:v>
                </c:pt>
                <c:pt idx="16">
                  <c:v>55.848591556918635</c:v>
                </c:pt>
                <c:pt idx="17">
                  <c:v>54.833522057495159</c:v>
                </c:pt>
                <c:pt idx="18">
                  <c:v>53.925912351780866</c:v>
                </c:pt>
                <c:pt idx="19">
                  <c:v>47.993457611885766</c:v>
                </c:pt>
                <c:pt idx="20">
                  <c:v>44.607027084491691</c:v>
                </c:pt>
                <c:pt idx="21">
                  <c:v>42.296588572868259</c:v>
                </c:pt>
                <c:pt idx="22">
                  <c:v>40.600698080648378</c:v>
                </c:pt>
                <c:pt idx="23">
                  <c:v>39.314042290857643</c:v>
                </c:pt>
                <c:pt idx="24">
                  <c:v>38.327512121891729</c:v>
                </c:pt>
                <c:pt idx="25">
                  <c:v>37.576501418102396</c:v>
                </c:pt>
                <c:pt idx="26">
                  <c:v>37.019955203604361</c:v>
                </c:pt>
                <c:pt idx="27">
                  <c:v>36.630535953883573</c:v>
                </c:pt>
                <c:pt idx="28">
                  <c:v>36.690647775114357</c:v>
                </c:pt>
                <c:pt idx="29">
                  <c:v>38.93477965038015</c:v>
                </c:pt>
                <c:pt idx="30">
                  <c:v>37.037428600014472</c:v>
                </c:pt>
                <c:pt idx="31">
                  <c:v>31.653245371086626</c:v>
                </c:pt>
                <c:pt idx="32">
                  <c:v>27.540118622895257</c:v>
                </c:pt>
                <c:pt idx="33">
                  <c:v>24.539375845451204</c:v>
                </c:pt>
                <c:pt idx="34">
                  <c:v>22.248337298433047</c:v>
                </c:pt>
                <c:pt idx="35">
                  <c:v>20.427716669402074</c:v>
                </c:pt>
                <c:pt idx="36">
                  <c:v>18.935642304254817</c:v>
                </c:pt>
                <c:pt idx="37">
                  <c:v>17.683198315092849</c:v>
                </c:pt>
                <c:pt idx="38">
                  <c:v>16.611705976521172</c:v>
                </c:pt>
                <c:pt idx="39">
                  <c:v>15.680752645806809</c:v>
                </c:pt>
                <c:pt idx="40">
                  <c:v>14.86151008027605</c:v>
                </c:pt>
                <c:pt idx="41">
                  <c:v>14.132800369090848</c:v>
                </c:pt>
                <c:pt idx="42">
                  <c:v>13.478672038947344</c:v>
                </c:pt>
                <c:pt idx="43">
                  <c:v>12.886848555576487</c:v>
                </c:pt>
                <c:pt idx="44">
                  <c:v>12.347702610417082</c:v>
                </c:pt>
                <c:pt idx="45">
                  <c:v>11.853558917148593</c:v>
                </c:pt>
                <c:pt idx="46">
                  <c:v>11.398208695431244</c:v>
                </c:pt>
                <c:pt idx="47">
                  <c:v>10.976564261241723</c:v>
                </c:pt>
                <c:pt idx="48">
                  <c:v>10.584408548628012</c:v>
                </c:pt>
                <c:pt idx="49">
                  <c:v>10.218210305909212</c:v>
                </c:pt>
                <c:pt idx="50">
                  <c:v>9.8749855812092253</c:v>
                </c:pt>
                <c:pt idx="51">
                  <c:v>9.5521923893783462</c:v>
                </c:pt>
                <c:pt idx="52">
                  <c:v>9.2476495335425177</c:v>
                </c:pt>
                <c:pt idx="53">
                  <c:v>8.9594732613563526</c:v>
                </c:pt>
                <c:pt idx="54">
                  <c:v>8.6860272638955038</c:v>
                </c:pt>
                <c:pt idx="55">
                  <c:v>8.4258827797325182</c:v>
                </c:pt>
                <c:pt idx="56">
                  <c:v>8.1777864408038834</c:v>
                </c:pt>
                <c:pt idx="57">
                  <c:v>7.9406341140076</c:v>
                </c:pt>
                <c:pt idx="58">
                  <c:v>7.7134494340219453</c:v>
                </c:pt>
                <c:pt idx="59">
                  <c:v>7.4953660423847568</c:v>
                </c:pt>
                <c:pt idx="60">
                  <c:v>7.2856127816768446</c:v>
                </c:pt>
                <c:pt idx="61">
                  <c:v>7.0835012664872306</c:v>
                </c:pt>
                <c:pt idx="62">
                  <c:v>6.8884153818483611</c:v>
                </c:pt>
                <c:pt idx="63">
                  <c:v>6.6998023570178367</c:v>
                </c:pt>
                <c:pt idx="64">
                  <c:v>6.5171651363442091</c:v>
                </c:pt>
                <c:pt idx="65">
                  <c:v>6.3400558255600439</c:v>
                </c:pt>
                <c:pt idx="66">
                  <c:v>6.1680700355787224</c:v>
                </c:pt>
                <c:pt idx="67">
                  <c:v>6.0008419799225461</c:v>
                </c:pt>
                <c:pt idx="68">
                  <c:v>5.8380402086226768</c:v>
                </c:pt>
                <c:pt idx="69">
                  <c:v>5.6793638825396346</c:v>
                </c:pt>
                <c:pt idx="70">
                  <c:v>5.5245395088512215</c:v>
                </c:pt>
                <c:pt idx="71">
                  <c:v>5.3733180719131548</c:v>
                </c:pt>
                <c:pt idx="72">
                  <c:v>5.2254725045527213</c:v>
                </c:pt>
                <c:pt idx="73">
                  <c:v>5.0807954536665312</c:v>
                </c:pt>
                <c:pt idx="74">
                  <c:v>4.9390973011891779</c:v>
                </c:pt>
                <c:pt idx="75">
                  <c:v>4.8002044074117221</c:v>
                </c:pt>
                <c:pt idx="76">
                  <c:v>4.6639575485135154</c:v>
                </c:pt>
                <c:pt idx="77">
                  <c:v>4.5302105242296848</c:v>
                </c:pt>
                <c:pt idx="78">
                  <c:v>4.3988289149660638</c:v>
                </c:pt>
                <c:pt idx="79">
                  <c:v>4.2696889705184944</c:v>
                </c:pt>
                <c:pt idx="80">
                  <c:v>4.1426766149531549</c:v>
                </c:pt>
                <c:pt idx="81">
                  <c:v>4.017686554237371</c:v>
                </c:pt>
                <c:pt idx="82">
                  <c:v>3.8946214749401911</c:v>
                </c:pt>
                <c:pt idx="83">
                  <c:v>3.7733913237995766</c:v>
                </c:pt>
                <c:pt idx="84">
                  <c:v>3.6539126592203197</c:v>
                </c:pt>
                <c:pt idx="85">
                  <c:v>3.5361080668571345</c:v>
                </c:pt>
                <c:pt idx="86">
                  <c:v>3.4199056323793631</c:v>
                </c:pt>
                <c:pt idx="87">
                  <c:v>3.3052384653291274</c:v>
                </c:pt>
                <c:pt idx="88">
                  <c:v>3.1920442686936727</c:v>
                </c:pt>
                <c:pt idx="89">
                  <c:v>3.0802649494300378</c:v>
                </c:pt>
                <c:pt idx="90">
                  <c:v>2.9698462657193172</c:v>
                </c:pt>
                <c:pt idx="91">
                  <c:v>2.8607375072002172</c:v>
                </c:pt>
                <c:pt idx="92">
                  <c:v>2.7528912048456649</c:v>
                </c:pt>
                <c:pt idx="93">
                  <c:v>2.6462628675107691</c:v>
                </c:pt>
                <c:pt idx="94">
                  <c:v>2.540810742501471</c:v>
                </c:pt>
                <c:pt idx="95">
                  <c:v>2.4364955977965246</c:v>
                </c:pt>
                <c:pt idx="96">
                  <c:v>2.3332805238061667</c:v>
                </c:pt>
                <c:pt idx="97">
                  <c:v>2.2311307527726516</c:v>
                </c:pt>
                <c:pt idx="98">
                  <c:v>2.1300134941148703</c:v>
                </c:pt>
                <c:pt idx="99">
                  <c:v>2.0298977841939965</c:v>
                </c:pt>
                <c:pt idx="100">
                  <c:v>1.9307543491328338</c:v>
                </c:pt>
                <c:pt idx="101">
                  <c:v>1.8325554794598435</c:v>
                </c:pt>
                <c:pt idx="102">
                  <c:v>1.7352749154726643</c:v>
                </c:pt>
                <c:pt idx="103">
                  <c:v>1.6388877423260344</c:v>
                </c:pt>
                <c:pt idx="104">
                  <c:v>1.5433702939474971</c:v>
                </c:pt>
                <c:pt idx="105">
                  <c:v>1.4487000649727411</c:v>
                </c:pt>
                <c:pt idx="106">
                  <c:v>1.354855629970996</c:v>
                </c:pt>
                <c:pt idx="107">
                  <c:v>1.2618165693019521</c:v>
                </c:pt>
                <c:pt idx="108">
                  <c:v>1.1695634010089382</c:v>
                </c:pt>
                <c:pt idx="109">
                  <c:v>1.0780775182101867</c:v>
                </c:pt>
                <c:pt idx="110">
                  <c:v>0.98734113150121705</c:v>
                </c:pt>
                <c:pt idx="111">
                  <c:v>0.89733721592725357</c:v>
                </c:pt>
                <c:pt idx="112">
                  <c:v>0.80804946212622686</c:v>
                </c:pt>
                <c:pt idx="113">
                  <c:v>0.71946223128015374</c:v>
                </c:pt>
                <c:pt idx="114">
                  <c:v>0.63156051354616161</c:v>
                </c:pt>
                <c:pt idx="115">
                  <c:v>0.54432988966903229</c:v>
                </c:pt>
                <c:pt idx="116">
                  <c:v>0.45775649550420244</c:v>
                </c:pt>
                <c:pt idx="117">
                  <c:v>0.37182698920510793</c:v>
                </c:pt>
                <c:pt idx="118">
                  <c:v>0.2865285208509622</c:v>
                </c:pt>
                <c:pt idx="119">
                  <c:v>0.20184870431122851</c:v>
                </c:pt>
                <c:pt idx="120">
                  <c:v>0.11777559116145028</c:v>
                </c:pt>
                <c:pt idx="121">
                  <c:v>3.4297646481351036E-2</c:v>
                </c:pt>
                <c:pt idx="122">
                  <c:v>-4.8596273618522472E-2</c:v>
                </c:pt>
                <c:pt idx="123">
                  <c:v>-0.13091694288215888</c:v>
                </c:pt>
                <c:pt idx="124">
                  <c:v>-0.21267478433334319</c:v>
                </c:pt>
                <c:pt idx="125">
                  <c:v>-0.29387988835795648</c:v>
                </c:pt>
                <c:pt idx="126">
                  <c:v>-0.37454202954987303</c:v>
                </c:pt>
                <c:pt idx="127">
                  <c:v>-0.45467068241815728</c:v>
                </c:pt>
                <c:pt idx="128">
                  <c:v>-0.5342750360447357</c:v>
                </c:pt>
                <c:pt idx="129">
                  <c:v>-0.61336400777420486</c:v>
                </c:pt>
                <c:pt idx="130">
                  <c:v>-0.69194625601040516</c:v>
                </c:pt>
                <c:pt idx="131">
                  <c:v>-0.77003019218828139</c:v>
                </c:pt>
                <c:pt idx="132">
                  <c:v>-0.84762399198362193</c:v>
                </c:pt>
                <c:pt idx="133">
                  <c:v>-0.9247356058181837</c:v>
                </c:pt>
                <c:pt idx="134">
                  <c:v>-1.0013727687129317</c:v>
                </c:pt>
                <c:pt idx="135">
                  <c:v>-1.077543009537717</c:v>
                </c:pt>
                <c:pt idx="136">
                  <c:v>-1.1532536597019054</c:v>
                </c:pt>
                <c:pt idx="137">
                  <c:v>-1.2285118613266055</c:v>
                </c:pt>
                <c:pt idx="138">
                  <c:v>-1.3033245749361848</c:v>
                </c:pt>
                <c:pt idx="139">
                  <c:v>-1.3776985867034326</c:v>
                </c:pt>
                <c:pt idx="140">
                  <c:v>-1.4516405152801848</c:v>
                </c:pt>
                <c:pt idx="141">
                  <c:v>-1.5251568182425896</c:v>
                </c:pt>
                <c:pt idx="142">
                  <c:v>-1.5982537981779557</c:v>
                </c:pt>
                <c:pt idx="143">
                  <c:v>-1.6709376084379883</c:v>
                </c:pt>
                <c:pt idx="144">
                  <c:v>-1.7432142585812851</c:v>
                </c:pt>
                <c:pt idx="145">
                  <c:v>-1.8150896195261523</c:v>
                </c:pt>
                <c:pt idx="146">
                  <c:v>-1.8865694284333647</c:v>
                </c:pt>
                <c:pt idx="147">
                  <c:v>-1.9576592933366366</c:v>
                </c:pt>
                <c:pt idx="148">
                  <c:v>-2.0283646975376781</c:v>
                </c:pt>
                <c:pt idx="149">
                  <c:v>-2.0986910037810436</c:v>
                </c:pt>
                <c:pt idx="150">
                  <c:v>-2.1686434582230159</c:v>
                </c:pt>
                <c:pt idx="151">
                  <c:v>-2.2382271942078482</c:v>
                </c:pt>
                <c:pt idx="152">
                  <c:v>-2.3074472358632954</c:v>
                </c:pt>
                <c:pt idx="153">
                  <c:v>-2.3763085015269994</c:v>
                </c:pt>
                <c:pt idx="154">
                  <c:v>-2.4448158070140193</c:v>
                </c:pt>
                <c:pt idx="155">
                  <c:v>-2.5129738687353171</c:v>
                </c:pt>
                <c:pt idx="156">
                  <c:v>-2.580787306676275</c:v>
                </c:pt>
                <c:pt idx="157">
                  <c:v>-2.6482606472434127</c:v>
                </c:pt>
                <c:pt idx="158">
                  <c:v>-2.7153983259873899</c:v>
                </c:pt>
                <c:pt idx="159">
                  <c:v>-2.7822046902092974</c:v>
                </c:pt>
                <c:pt idx="160">
                  <c:v>-2.8486840014571317</c:v>
                </c:pt>
                <c:pt idx="161">
                  <c:v>-2.9148404379185493</c:v>
                </c:pt>
                <c:pt idx="162">
                  <c:v>-2.980678096716046</c:v>
                </c:pt>
                <c:pt idx="163">
                  <c:v>-3.0462009961096497</c:v>
                </c:pt>
                <c:pt idx="164">
                  <c:v>-3.1114130776124704</c:v>
                </c:pt>
                <c:pt idx="165">
                  <c:v>-3.1763182080237637</c:v>
                </c:pt>
                <c:pt idx="166">
                  <c:v>-3.2409201813838813</c:v>
                </c:pt>
                <c:pt idx="167">
                  <c:v>-3.3052227208553591</c:v>
                </c:pt>
                <c:pt idx="168">
                  <c:v>-3.3692294805339111</c:v>
                </c:pt>
                <c:pt idx="169">
                  <c:v>-3.4329440471929957</c:v>
                </c:pt>
                <c:pt idx="170">
                  <c:v>-3.4963699419653298</c:v>
                </c:pt>
                <c:pt idx="171">
                  <c:v>-3.5595106219645296</c:v>
                </c:pt>
                <c:pt idx="172">
                  <c:v>-3.6223694818498324</c:v>
                </c:pt>
                <c:pt idx="173">
                  <c:v>-3.6849498553367117</c:v>
                </c:pt>
                <c:pt idx="174">
                  <c:v>-3.747255016655981</c:v>
                </c:pt>
                <c:pt idx="175">
                  <c:v>-3.8092881819638693</c:v>
                </c:pt>
                <c:pt idx="176">
                  <c:v>-3.8710525107053426</c:v>
                </c:pt>
                <c:pt idx="177">
                  <c:v>-3.9325511069328463</c:v>
                </c:pt>
                <c:pt idx="178">
                  <c:v>-3.9937870205825754</c:v>
                </c:pt>
                <c:pt idx="179">
                  <c:v>-4.0547632487100298</c:v>
                </c:pt>
                <c:pt idx="180">
                  <c:v>-4.1154827366869355</c:v>
                </c:pt>
                <c:pt idx="181">
                  <c:v>-4.1759483793609196</c:v>
                </c:pt>
                <c:pt idx="182">
                  <c:v>-4.2361630221797881</c:v>
                </c:pt>
                <c:pt idx="183">
                  <c:v>-4.2961294622818365</c:v>
                </c:pt>
                <c:pt idx="184">
                  <c:v>-4.3558504495536248</c:v>
                </c:pt>
                <c:pt idx="185">
                  <c:v>-4.4153286876565199</c:v>
                </c:pt>
                <c:pt idx="186">
                  <c:v>-4.4745668350234871</c:v>
                </c:pt>
                <c:pt idx="187">
                  <c:v>-4.5335675058270386</c:v>
                </c:pt>
                <c:pt idx="188">
                  <c:v>-4.5923332709197364</c:v>
                </c:pt>
                <c:pt idx="189">
                  <c:v>-4.6508666587482645</c:v>
                </c:pt>
                <c:pt idx="190">
                  <c:v>-4.7091701562420072</c:v>
                </c:pt>
                <c:pt idx="191">
                  <c:v>-4.7672462096772463</c:v>
                </c:pt>
                <c:pt idx="192">
                  <c:v>-4.8250972255178253</c:v>
                </c:pt>
                <c:pt idx="193">
                  <c:v>-4.8827255712331823</c:v>
                </c:pt>
                <c:pt idx="194">
                  <c:v>-4.9401335760945964</c:v>
                </c:pt>
                <c:pt idx="195">
                  <c:v>-4.9973235319503821</c:v>
                </c:pt>
                <c:pt idx="196">
                  <c:v>-5.0542976939809119</c:v>
                </c:pt>
                <c:pt idx="197">
                  <c:v>-5.1110582814340653</c:v>
                </c:pt>
                <c:pt idx="198">
                  <c:v>-5.1676074783418411</c:v>
                </c:pt>
                <c:pt idx="199">
                  <c:v>-5.2239474342187897</c:v>
                </c:pt>
                <c:pt idx="200">
                  <c:v>-5.2800802647428915</c:v>
                </c:pt>
                <c:pt idx="201">
                  <c:v>-5.3360080524194515</c:v>
                </c:pt>
                <c:pt idx="202">
                  <c:v>-5.3917328472285941</c:v>
                </c:pt>
                <c:pt idx="203">
                  <c:v>-5.4472566672569176</c:v>
                </c:pt>
                <c:pt idx="204">
                  <c:v>-5.5025814993137647</c:v>
                </c:pt>
                <c:pt idx="205">
                  <c:v>-5.5577092995326964</c:v>
                </c:pt>
                <c:pt idx="206">
                  <c:v>-5.6126419939585679</c:v>
                </c:pt>
                <c:pt idx="207">
                  <c:v>-5.6673814791206709</c:v>
                </c:pt>
                <c:pt idx="208">
                  <c:v>-5.7219296225924374</c:v>
                </c:pt>
                <c:pt idx="209">
                  <c:v>-5.7762882635380386</c:v>
                </c:pt>
                <c:pt idx="210">
                  <c:v>-5.8304592132462743</c:v>
                </c:pt>
                <c:pt idx="211">
                  <c:v>-5.8844442556523209</c:v>
                </c:pt>
                <c:pt idx="212">
                  <c:v>-5.9382451478473879</c:v>
                </c:pt>
                <c:pt idx="213">
                  <c:v>-5.9918636205769094</c:v>
                </c:pt>
                <c:pt idx="214">
                  <c:v>-6.0453013787274763</c:v>
                </c:pt>
                <c:pt idx="215">
                  <c:v>-6.0985601018029003</c:v>
                </c:pt>
                <c:pt idx="216">
                  <c:v>-6.1516414443896164</c:v>
                </c:pt>
                <c:pt idx="217">
                  <c:v>-6.2045470366118849</c:v>
                </c:pt>
                <c:pt idx="218">
                  <c:v>-6.2572784845769274</c:v>
                </c:pt>
                <c:pt idx="219">
                  <c:v>-6.3098373708103743</c:v>
                </c:pt>
                <c:pt idx="220">
                  <c:v>-6.3622252546822686</c:v>
                </c:pt>
                <c:pt idx="221">
                  <c:v>-6.4144436728238414</c:v>
                </c:pt>
                <c:pt idx="222">
                  <c:v>-6.4664941395353859</c:v>
                </c:pt>
                <c:pt idx="223">
                  <c:v>-6.5183781471854143</c:v>
                </c:pt>
                <c:pt idx="224">
                  <c:v>-6.5700971666013155</c:v>
                </c:pt>
                <c:pt idx="225">
                  <c:v>-6.6216526474518389</c:v>
                </c:pt>
                <c:pt idx="226">
                  <c:v>-7.1285173602953158</c:v>
                </c:pt>
                <c:pt idx="227">
                  <c:v>-7.6204792221744402</c:v>
                </c:pt>
                <c:pt idx="228">
                  <c:v>-8.0986908251993963</c:v>
                </c:pt>
                <c:pt idx="229">
                  <c:v>-8.5641593835710967</c:v>
                </c:pt>
                <c:pt idx="230">
                  <c:v>-9.0177689809366139</c:v>
                </c:pt>
                <c:pt idx="231">
                  <c:v>-9.460299009179252</c:v>
                </c:pt>
                <c:pt idx="232">
                  <c:v>-9.8924395304183186</c:v>
                </c:pt>
                <c:pt idx="233">
                  <c:v>-10.314804132138434</c:v>
                </c:pt>
                <c:pt idx="234">
                  <c:v>-10.727940725492759</c:v>
                </c:pt>
                <c:pt idx="235">
                  <c:v>-11.132340646186897</c:v>
                </c:pt>
                <c:pt idx="236">
                  <c:v>-11.528446347646703</c:v>
                </c:pt>
                <c:pt idx="237">
                  <c:v>-11.916657921810042</c:v>
                </c:pt>
                <c:pt idx="238">
                  <c:v>-12.297338639981355</c:v>
                </c:pt>
                <c:pt idx="239">
                  <c:v>-12.670819671993254</c:v>
                </c:pt>
                <c:pt idx="240">
                  <c:v>-13.03740411443092</c:v>
                </c:pt>
                <c:pt idx="241">
                  <c:v>-13.397370436414418</c:v>
                </c:pt>
                <c:pt idx="242">
                  <c:v>-13.75097543329206</c:v>
                </c:pt>
                <c:pt idx="243">
                  <c:v>-14.098456763730091</c:v>
                </c:pt>
                <c:pt idx="244">
                  <c:v>-14.44003513343956</c:v>
                </c:pt>
                <c:pt idx="245">
                  <c:v>-14.775916178655342</c:v>
                </c:pt>
                <c:pt idx="246">
                  <c:v>-15.106292094075895</c:v>
                </c:pt>
                <c:pt idx="247">
                  <c:v>-15.431343042971298</c:v>
                </c:pt>
                <c:pt idx="248">
                  <c:v>-15.751238381319293</c:v>
                </c:pt>
                <c:pt idx="249">
                  <c:v>-16.066137722931849</c:v>
                </c:pt>
                <c:pt idx="250">
                  <c:v>-16.376191868424648</c:v>
                </c:pt>
                <c:pt idx="251">
                  <c:v>-16.681543617425149</c:v>
                </c:pt>
                <c:pt idx="252">
                  <c:v>-16.982328480502595</c:v>
                </c:pt>
                <c:pt idx="253">
                  <c:v>-17.278675304845596</c:v>
                </c:pt>
                <c:pt idx="254">
                  <c:v>-17.570706825635888</c:v>
                </c:pt>
                <c:pt idx="255">
                  <c:v>-17.858540153309143</c:v>
                </c:pt>
                <c:pt idx="256">
                  <c:v>-18.142287205404592</c:v>
                </c:pt>
                <c:pt idx="257">
                  <c:v>-18.422055090441567</c:v>
                </c:pt>
                <c:pt idx="258">
                  <c:v>-18.697946450188695</c:v>
                </c:pt>
                <c:pt idx="259">
                  <c:v>-18.970059765779251</c:v>
                </c:pt>
                <c:pt idx="260">
                  <c:v>-19.2384896323506</c:v>
                </c:pt>
                <c:pt idx="261">
                  <c:v>-19.50332700622452</c:v>
                </c:pt>
                <c:pt idx="262">
                  <c:v>-19.764659428082233</c:v>
                </c:pt>
                <c:pt idx="263">
                  <c:v>-20.022571225107107</c:v>
                </c:pt>
                <c:pt idx="264">
                  <c:v>-20.277143694657717</c:v>
                </c:pt>
                <c:pt idx="265">
                  <c:v>-20.528455271683029</c:v>
                </c:pt>
                <c:pt idx="266">
                  <c:v>-20.776581681791374</c:v>
                </c:pt>
                <c:pt idx="267">
                  <c:v>-21.021596081627926</c:v>
                </c:pt>
                <c:pt idx="268">
                  <c:v>-21.263569187994989</c:v>
                </c:pt>
                <c:pt idx="269">
                  <c:v>-21.502569396960514</c:v>
                </c:pt>
                <c:pt idx="270">
                  <c:v>-21.738662894037866</c:v>
                </c:pt>
                <c:pt idx="271">
                  <c:v>-21.971913756380491</c:v>
                </c:pt>
                <c:pt idx="272">
                  <c:v>-22.202384047814924</c:v>
                </c:pt>
                <c:pt idx="273">
                  <c:v>-22.430133907432165</c:v>
                </c:pt>
                <c:pt idx="274">
                  <c:v>-22.655221632368352</c:v>
                </c:pt>
                <c:pt idx="275">
                  <c:v>-22.877703755328533</c:v>
                </c:pt>
                <c:pt idx="276">
                  <c:v>-23.097635117340761</c:v>
                </c:pt>
                <c:pt idx="277">
                  <c:v>-23.315068936170178</c:v>
                </c:pt>
                <c:pt idx="278">
                  <c:v>-23.530056870772679</c:v>
                </c:pt>
                <c:pt idx="279">
                  <c:v>-23.742649082124512</c:v>
                </c:pt>
                <c:pt idx="280">
                  <c:v>-23.952894290726334</c:v>
                </c:pt>
                <c:pt idx="281">
                  <c:v>-24.16083983104761</c:v>
                </c:pt>
                <c:pt idx="282">
                  <c:v>-24.366531703148496</c:v>
                </c:pt>
                <c:pt idx="283">
                  <c:v>-24.570014621691424</c:v>
                </c:pt>
                <c:pt idx="284">
                  <c:v>-24.771332062532736</c:v>
                </c:pt>
                <c:pt idx="285">
                  <c:v>-24.970526307065629</c:v>
                </c:pt>
                <c:pt idx="286">
                  <c:v>-25.167638484468743</c:v>
                </c:pt>
                <c:pt idx="287">
                  <c:v>-25.362708612000034</c:v>
                </c:pt>
                <c:pt idx="288">
                  <c:v>-25.555775633462517</c:v>
                </c:pt>
                <c:pt idx="289">
                  <c:v>-25.746877455956913</c:v>
                </c:pt>
                <c:pt idx="290">
                  <c:v>-25.936050985026078</c:v>
                </c:pt>
                <c:pt idx="291">
                  <c:v>-26.123332158287059</c:v>
                </c:pt>
                <c:pt idx="292">
                  <c:v>-26.30875597763854</c:v>
                </c:pt>
                <c:pt idx="293">
                  <c:v>-26.492356540124376</c:v>
                </c:pt>
                <c:pt idx="294">
                  <c:v>-26.674167067527424</c:v>
                </c:pt>
                <c:pt idx="295">
                  <c:v>-26.854219934762135</c:v>
                </c:pt>
                <c:pt idx="296">
                  <c:v>-27.032546697129426</c:v>
                </c:pt>
                <c:pt idx="297">
                  <c:v>-27.209178116492431</c:v>
                </c:pt>
                <c:pt idx="298">
                  <c:v>-27.384144186427836</c:v>
                </c:pt>
                <c:pt idx="299">
                  <c:v>-27.557474156403622</c:v>
                </c:pt>
                <c:pt idx="300">
                  <c:v>-27.729196555030487</c:v>
                </c:pt>
                <c:pt idx="301">
                  <c:v>-27.89933921243145</c:v>
                </c:pt>
                <c:pt idx="302">
                  <c:v>-28.067929281770954</c:v>
                </c:pt>
                <c:pt idx="303">
                  <c:v>-28.234993259982453</c:v>
                </c:pt>
                <c:pt idx="304">
                  <c:v>-28.400557007730999</c:v>
                </c:pt>
                <c:pt idx="305">
                  <c:v>-28.564645768645136</c:v>
                </c:pt>
                <c:pt idx="306">
                  <c:v>-28.7272841878506</c:v>
                </c:pt>
                <c:pt idx="307">
                  <c:v>-28.888496329836279</c:v>
                </c:pt>
                <c:pt idx="308">
                  <c:v>-29.048305695681282</c:v>
                </c:pt>
                <c:pt idx="309">
                  <c:v>-29.206735239670429</c:v>
                </c:pt>
                <c:pt idx="310">
                  <c:v>-29.363807385323963</c:v>
                </c:pt>
                <c:pt idx="311">
                  <c:v>-29.519544040866002</c:v>
                </c:pt>
                <c:pt idx="312">
                  <c:v>-29.673966614154832</c:v>
                </c:pt>
                <c:pt idx="313">
                  <c:v>-29.827096027097241</c:v>
                </c:pt>
                <c:pt idx="314">
                  <c:v>-29.978952729567681</c:v>
                </c:pt>
                <c:pt idx="315">
                  <c:v>-30.129556712852295</c:v>
                </c:pt>
                <c:pt idx="316">
                  <c:v>-30.27892752263671</c:v>
                </c:pt>
                <c:pt idx="317">
                  <c:v>-30.427084271555657</c:v>
                </c:pt>
                <c:pt idx="318">
                  <c:v>-30.574045651321597</c:v>
                </c:pt>
                <c:pt idx="319">
                  <c:v>-30.719829944448907</c:v>
                </c:pt>
                <c:pt idx="320">
                  <c:v>-30.864455035588989</c:v>
                </c:pt>
                <c:pt idx="321">
                  <c:v>-31.007938422491648</c:v>
                </c:pt>
                <c:pt idx="322">
                  <c:v>-31.150297226606639</c:v>
                </c:pt>
                <c:pt idx="323">
                  <c:v>-31.291548203339239</c:v>
                </c:pt>
                <c:pt idx="324">
                  <c:v>-31.431707751972908</c:v>
                </c:pt>
                <c:pt idx="325">
                  <c:v>-31.570791925271369</c:v>
                </c:pt>
                <c:pt idx="326">
                  <c:v>-31.708816438772189</c:v>
                </c:pt>
                <c:pt idx="327">
                  <c:v>-31.845796679783206</c:v>
                </c:pt>
                <c:pt idx="328">
                  <c:v>-31.981747716092791</c:v>
                </c:pt>
                <c:pt idx="329">
                  <c:v>-32.116684304404416</c:v>
                </c:pt>
                <c:pt idx="330">
                  <c:v>-32.250620898505595</c:v>
                </c:pt>
                <c:pt idx="331">
                  <c:v>-32.383571657180731</c:v>
                </c:pt>
                <c:pt idx="332">
                  <c:v>-32.51555045187731</c:v>
                </c:pt>
                <c:pt idx="333">
                  <c:v>-32.646570874134042</c:v>
                </c:pt>
                <c:pt idx="334">
                  <c:v>-32.776646242779648</c:v>
                </c:pt>
                <c:pt idx="335">
                  <c:v>-32.905789610910347</c:v>
                </c:pt>
                <c:pt idx="336">
                  <c:v>-33.034013772653871</c:v>
                </c:pt>
                <c:pt idx="337">
                  <c:v>-33.161331269727611</c:v>
                </c:pt>
                <c:pt idx="338">
                  <c:v>-33.287754397797926</c:v>
                </c:pt>
                <c:pt idx="339">
                  <c:v>-33.41329521264776</c:v>
                </c:pt>
                <c:pt idx="340">
                  <c:v>-33.537965536159049</c:v>
                </c:pt>
                <c:pt idx="341">
                  <c:v>-33.661776962116456</c:v>
                </c:pt>
                <c:pt idx="342">
                  <c:v>-33.784740861838422</c:v>
                </c:pt>
                <c:pt idx="343">
                  <c:v>-33.906868389641637</c:v>
                </c:pt>
                <c:pt idx="344">
                  <c:v>-34.028170488144433</c:v>
                </c:pt>
                <c:pt idx="345">
                  <c:v>-34.148657893414651</c:v>
                </c:pt>
                <c:pt idx="346">
                  <c:v>-34.268341139967291</c:v>
                </c:pt>
                <c:pt idx="347">
                  <c:v>-34.387230565616868</c:v>
                </c:pt>
                <c:pt idx="348">
                  <c:v>-34.505336316189442</c:v>
                </c:pt>
                <c:pt idx="349">
                  <c:v>-34.622668350098962</c:v>
                </c:pt>
                <c:pt idx="350">
                  <c:v>-34.739236442792489</c:v>
                </c:pt>
                <c:pt idx="351">
                  <c:v>-34.855050191068507</c:v>
                </c:pt>
                <c:pt idx="352">
                  <c:v>-34.970119017272665</c:v>
                </c:pt>
                <c:pt idx="353">
                  <c:v>-35.084452173374807</c:v>
                </c:pt>
                <c:pt idx="354">
                  <c:v>-35.198058744931352</c:v>
                </c:pt>
                <c:pt idx="355">
                  <c:v>-35.310947654936527</c:v>
                </c:pt>
                <c:pt idx="356">
                  <c:v>-35.42312766756632</c:v>
                </c:pt>
                <c:pt idx="357">
                  <c:v>-35.534607391818291</c:v>
                </c:pt>
                <c:pt idx="358">
                  <c:v>-35.645395285050945</c:v>
                </c:pt>
                <c:pt idx="359">
                  <c:v>-35.755499656425556</c:v>
                </c:pt>
                <c:pt idx="360">
                  <c:v>-35.864928670253768</c:v>
                </c:pt>
                <c:pt idx="361">
                  <c:v>-35.9736903492539</c:v>
                </c:pt>
                <c:pt idx="362">
                  <c:v>-36.081792577718701</c:v>
                </c:pt>
                <c:pt idx="363">
                  <c:v>-36.189243104597644</c:v>
                </c:pt>
                <c:pt idx="364">
                  <c:v>-36.296049546496107</c:v>
                </c:pt>
                <c:pt idx="365">
                  <c:v>-36.402219390594269</c:v>
                </c:pt>
                <c:pt idx="366">
                  <c:v>-36.507759997488094</c:v>
                </c:pt>
                <c:pt idx="367">
                  <c:v>-36.612678603954876</c:v>
                </c:pt>
                <c:pt idx="368">
                  <c:v>-36.716982325645603</c:v>
                </c:pt>
                <c:pt idx="369">
                  <c:v>-36.820678159706517</c:v>
                </c:pt>
                <c:pt idx="370">
                  <c:v>-36.92377298733183</c:v>
                </c:pt>
                <c:pt idx="371">
                  <c:v>-37.026273576249913</c:v>
                </c:pt>
                <c:pt idx="372">
                  <c:v>-37.128186583144839</c:v>
                </c:pt>
                <c:pt idx="373">
                  <c:v>-37.229518556015243</c:v>
                </c:pt>
                <c:pt idx="374">
                  <c:v>-37.330275936472447</c:v>
                </c:pt>
                <c:pt idx="375">
                  <c:v>-37.430465061979589</c:v>
                </c:pt>
                <c:pt idx="376">
                  <c:v>-37.530092168033626</c:v>
                </c:pt>
                <c:pt idx="377">
                  <c:v>-37.629163390291787</c:v>
                </c:pt>
                <c:pt idx="378">
                  <c:v>-37.727684766644188</c:v>
                </c:pt>
                <c:pt idx="379">
                  <c:v>-37.825662239234205</c:v>
                </c:pt>
                <c:pt idx="380">
                  <c:v>-37.923101656428109</c:v>
                </c:pt>
                <c:pt idx="381">
                  <c:v>-38.020008774735466</c:v>
                </c:pt>
                <c:pt idx="382">
                  <c:v>-38.116389260681686</c:v>
                </c:pt>
                <c:pt idx="383">
                  <c:v>-38.212248692634262</c:v>
                </c:pt>
                <c:pt idx="384">
                  <c:v>-38.307592562583785</c:v>
                </c:pt>
                <c:pt idx="385">
                  <c:v>-38.402426277881304</c:v>
                </c:pt>
                <c:pt idx="386">
                  <c:v>-38.496755162933084</c:v>
                </c:pt>
                <c:pt idx="387">
                  <c:v>-38.590584460854089</c:v>
                </c:pt>
                <c:pt idx="388">
                  <c:v>-38.683919335081356</c:v>
                </c:pt>
                <c:pt idx="389">
                  <c:v>-38.776764870948305</c:v>
                </c:pt>
                <c:pt idx="390">
                  <c:v>-38.869126077221182</c:v>
                </c:pt>
                <c:pt idx="391">
                  <c:v>-38.961007887598754</c:v>
                </c:pt>
                <c:pt idx="392">
                  <c:v>-39.052415162176054</c:v>
                </c:pt>
                <c:pt idx="393">
                  <c:v>-39.143352688873449</c:v>
                </c:pt>
                <c:pt idx="394">
                  <c:v>-39.233825184831844</c:v>
                </c:pt>
                <c:pt idx="395">
                  <c:v>-39.323837297774979</c:v>
                </c:pt>
                <c:pt idx="396">
                  <c:v>-39.413393607339728</c:v>
                </c:pt>
                <c:pt idx="397">
                  <c:v>-39.502498626375335</c:v>
                </c:pt>
                <c:pt idx="398">
                  <c:v>-39.591156802212339</c:v>
                </c:pt>
                <c:pt idx="399">
                  <c:v>-39.679372517902131</c:v>
                </c:pt>
                <c:pt idx="400">
                  <c:v>-39.767150093427787</c:v>
                </c:pt>
                <c:pt idx="401">
                  <c:v>-39.854493786887161</c:v>
                </c:pt>
                <c:pt idx="402">
                  <c:v>-39.94140779564875</c:v>
                </c:pt>
                <c:pt idx="403">
                  <c:v>-40.027896257481295</c:v>
                </c:pt>
                <c:pt idx="404">
                  <c:v>-40.113963251657587</c:v>
                </c:pt>
                <c:pt idx="405">
                  <c:v>-40.199612800033421</c:v>
                </c:pt>
                <c:pt idx="406">
                  <c:v>-40.28484886810206</c:v>
                </c:pt>
                <c:pt idx="407">
                  <c:v>-40.36967536602522</c:v>
                </c:pt>
                <c:pt idx="408">
                  <c:v>-40.454096149640783</c:v>
                </c:pt>
                <c:pt idx="409">
                  <c:v>-40.538115021448206</c:v>
                </c:pt>
                <c:pt idx="410">
                  <c:v>-40.621735731572002</c:v>
                </c:pt>
                <c:pt idx="411">
                  <c:v>-40.704961978703935</c:v>
                </c:pt>
                <c:pt idx="412">
                  <c:v>-40.787797411024478</c:v>
                </c:pt>
                <c:pt idx="413">
                  <c:v>-40.870245627104033</c:v>
                </c:pt>
                <c:pt idx="414">
                  <c:v>-40.952310176784515</c:v>
                </c:pt>
                <c:pt idx="415">
                  <c:v>-41.03399456204172</c:v>
                </c:pt>
                <c:pt idx="416">
                  <c:v>-41.115302237828942</c:v>
                </c:pt>
                <c:pt idx="417">
                  <c:v>-41.196236612902581</c:v>
                </c:pt>
                <c:pt idx="418">
                  <c:v>-41.276801050629658</c:v>
                </c:pt>
                <c:pt idx="419">
                  <c:v>-41.356998869778387</c:v>
                </c:pt>
                <c:pt idx="420">
                  <c:v>-41.436833345291632</c:v>
                </c:pt>
                <c:pt idx="421">
                  <c:v>-41.516307709044007</c:v>
                </c:pt>
                <c:pt idx="422">
                  <c:v>-41.59542515058294</c:v>
                </c:pt>
                <c:pt idx="423">
                  <c:v>-41.67418881785408</c:v>
                </c:pt>
                <c:pt idx="424">
                  <c:v>-41.752601817911469</c:v>
                </c:pt>
                <c:pt idx="425">
                  <c:v>-41.830667217612884</c:v>
                </c:pt>
                <c:pt idx="426">
                  <c:v>-41.90838804430058</c:v>
                </c:pt>
                <c:pt idx="427">
                  <c:v>-41.98576728646799</c:v>
                </c:pt>
                <c:pt idx="428">
                  <c:v>-42.062807894412543</c:v>
                </c:pt>
                <c:pt idx="429">
                  <c:v>-42.139512780875059</c:v>
                </c:pt>
                <c:pt idx="430">
                  <c:v>-42.215884821666016</c:v>
                </c:pt>
                <c:pt idx="431">
                  <c:v>-42.291926856278963</c:v>
                </c:pt>
                <c:pt idx="432">
                  <c:v>-42.367641688491418</c:v>
                </c:pt>
                <c:pt idx="433">
                  <c:v>-42.443032086953643</c:v>
                </c:pt>
                <c:pt idx="434">
                  <c:v>-42.518100785765341</c:v>
                </c:pt>
                <c:pt idx="435">
                  <c:v>-42.592850485040898</c:v>
                </c:pt>
                <c:pt idx="436">
                  <c:v>-42.667283851463118</c:v>
                </c:pt>
                <c:pt idx="437">
                  <c:v>-42.741403518825976</c:v>
                </c:pt>
                <c:pt idx="438">
                  <c:v>-42.81521208856649</c:v>
                </c:pt>
                <c:pt idx="439">
                  <c:v>-42.888712130286052</c:v>
                </c:pt>
                <c:pt idx="440">
                  <c:v>-42.961906182261359</c:v>
                </c:pt>
                <c:pt idx="441">
                  <c:v>-43.034796751945422</c:v>
                </c:pt>
                <c:pt idx="442">
                  <c:v>-43.10738631645853</c:v>
                </c:pt>
                <c:pt idx="443">
                  <c:v>-43.179677323069747</c:v>
                </c:pt>
                <c:pt idx="444">
                  <c:v>-43.25167218966893</c:v>
                </c:pt>
                <c:pt idx="445">
                  <c:v>-43.323373305229623</c:v>
                </c:pt>
                <c:pt idx="446">
                  <c:v>-43.3947830302629</c:v>
                </c:pt>
                <c:pt idx="447">
                  <c:v>-43.465903697262569</c:v>
                </c:pt>
                <c:pt idx="448">
                  <c:v>-43.536737611141632</c:v>
                </c:pt>
                <c:pt idx="449">
                  <c:v>-43.607287049660599</c:v>
                </c:pt>
                <c:pt idx="450">
                  <c:v>-43.677554263847391</c:v>
                </c:pt>
                <c:pt idx="451">
                  <c:v>-43.747541478409424</c:v>
                </c:pt>
                <c:pt idx="452">
                  <c:v>-43.8172508921378</c:v>
                </c:pt>
                <c:pt idx="453">
                  <c:v>-43.886684678303837</c:v>
                </c:pt>
                <c:pt idx="454">
                  <c:v>-43.955844985048202</c:v>
                </c:pt>
                <c:pt idx="455">
                  <c:v>-44.024733935762626</c:v>
                </c:pt>
                <c:pt idx="456">
                  <c:v>-44.093353629464637</c:v>
                </c:pt>
                <c:pt idx="457">
                  <c:v>-44.161706141165141</c:v>
                </c:pt>
                <c:pt idx="458">
                  <c:v>-44.229793522229286</c:v>
                </c:pt>
                <c:pt idx="459">
                  <c:v>-44.297617800730606</c:v>
                </c:pt>
                <c:pt idx="460">
                  <c:v>-44.365180981798595</c:v>
                </c:pt>
                <c:pt idx="461">
                  <c:v>-44.432485047960014</c:v>
                </c:pt>
                <c:pt idx="462">
                  <c:v>-44.499531959473735</c:v>
                </c:pt>
                <c:pt idx="463">
                  <c:v>-44.566323654659726</c:v>
                </c:pt>
                <c:pt idx="464">
                  <c:v>-44.632862050221817</c:v>
                </c:pt>
                <c:pt idx="465">
                  <c:v>-44.699149041564738</c:v>
                </c:pt>
                <c:pt idx="466">
                  <c:v>-44.765186503105397</c:v>
                </c:pt>
                <c:pt idx="467">
                  <c:v>-44.83097628857859</c:v>
                </c:pt>
                <c:pt idx="468">
                  <c:v>-44.896520231337107</c:v>
                </c:pt>
                <c:pt idx="469">
                  <c:v>-44.961820144646595</c:v>
                </c:pt>
                <c:pt idx="470">
                  <c:v>-45.02687782197512</c:v>
                </c:pt>
                <c:pt idx="471">
                  <c:v>-45.091695037277489</c:v>
                </c:pt>
                <c:pt idx="472">
                  <c:v>-45.156273545274743</c:v>
                </c:pt>
                <c:pt idx="473">
                  <c:v>-45.220615081728461</c:v>
                </c:pt>
                <c:pt idx="474">
                  <c:v>-45.284721363710467</c:v>
                </c:pt>
                <c:pt idx="475">
                  <c:v>-45.348594089867618</c:v>
                </c:pt>
                <c:pt idx="476">
                  <c:v>-45.412234940682112</c:v>
                </c:pt>
                <c:pt idx="477">
                  <c:v>-45.475645578727146</c:v>
                </c:pt>
                <c:pt idx="478">
                  <c:v>-45.538827648918208</c:v>
                </c:pt>
                <c:pt idx="479">
                  <c:v>-45.601782778759997</c:v>
                </c:pt>
                <c:pt idx="480">
                  <c:v>-45.66451257858904</c:v>
                </c:pt>
                <c:pt idx="481">
                  <c:v>-45.727018641812201</c:v>
                </c:pt>
                <c:pt idx="482">
                  <c:v>-45.789302545141069</c:v>
                </c:pt>
                <c:pt idx="483">
                  <c:v>-45.851365848822326</c:v>
                </c:pt>
                <c:pt idx="484">
                  <c:v>-45.913210096864219</c:v>
                </c:pt>
                <c:pt idx="485">
                  <c:v>-45.974836817259174</c:v>
                </c:pt>
                <c:pt idx="486">
                  <c:v>-46.036247522202629</c:v>
                </c:pt>
                <c:pt idx="487">
                  <c:v>-46.097443708308205</c:v>
                </c:pt>
                <c:pt idx="488">
                  <c:v>-46.158426856819226</c:v>
                </c:pt>
                <c:pt idx="489">
                  <c:v>-46.2191984338167</c:v>
                </c:pt>
                <c:pt idx="490">
                  <c:v>-46.279759890423875</c:v>
                </c:pt>
                <c:pt idx="491">
                  <c:v>-46.340112663007275</c:v>
                </c:pt>
                <c:pt idx="492">
                  <c:v>-46.400258173374496</c:v>
                </c:pt>
                <c:pt idx="493">
                  <c:v>-46.460197828968731</c:v>
                </c:pt>
                <c:pt idx="494">
                  <c:v>-46.519933023059998</c:v>
                </c:pt>
                <c:pt idx="495">
                  <c:v>-46.57946513493328</c:v>
                </c:pt>
                <c:pt idx="496">
                  <c:v>-46.638795530073594</c:v>
                </c:pt>
                <c:pt idx="497">
                  <c:v>-46.697925560348011</c:v>
                </c:pt>
                <c:pt idx="498">
                  <c:v>-46.756856564184702</c:v>
                </c:pt>
                <c:pt idx="499">
                  <c:v>-46.815589866749065</c:v>
                </c:pt>
                <c:pt idx="500">
                  <c:v>-46.874126780117045</c:v>
                </c:pt>
                <c:pt idx="501">
                  <c:v>-46.932468603445642</c:v>
                </c:pt>
                <c:pt idx="502">
                  <c:v>-46.990616623140582</c:v>
                </c:pt>
                <c:pt idx="503">
                  <c:v>-47.048572113021471</c:v>
                </c:pt>
                <c:pt idx="504">
                  <c:v>-47.106336334484133</c:v>
                </c:pt>
                <c:pt idx="505">
                  <c:v>-47.163910536660481</c:v>
                </c:pt>
                <c:pt idx="506">
                  <c:v>-47.221295956575759</c:v>
                </c:pt>
                <c:pt idx="507">
                  <c:v>-47.278493819303343</c:v>
                </c:pt>
                <c:pt idx="508">
                  <c:v>-47.335505338117116</c:v>
                </c:pt>
                <c:pt idx="509">
                  <c:v>-47.39233171464133</c:v>
                </c:pt>
                <c:pt idx="510">
                  <c:v>-47.448974138998281</c:v>
                </c:pt>
                <c:pt idx="511">
                  <c:v>-47.505433789953472</c:v>
                </c:pt>
                <c:pt idx="512">
                  <c:v>-47.561711835058716</c:v>
                </c:pt>
                <c:pt idx="513">
                  <c:v>-47.617809430792846</c:v>
                </c:pt>
                <c:pt idx="514">
                  <c:v>-47.673727722700306</c:v>
                </c:pt>
                <c:pt idx="515">
                  <c:v>-47.729467845527616</c:v>
                </c:pt>
                <c:pt idx="516">
                  <c:v>-47.785030923357688</c:v>
                </c:pt>
                <c:pt idx="517">
                  <c:v>-47.8404180697421</c:v>
                </c:pt>
                <c:pt idx="518">
                  <c:v>-47.895630387831346</c:v>
                </c:pt>
                <c:pt idx="519">
                  <c:v>-47.950668970503031</c:v>
                </c:pt>
                <c:pt idx="520">
                  <c:v>-48.005534900488193</c:v>
                </c:pt>
                <c:pt idx="521">
                  <c:v>-48.060229250495716</c:v>
                </c:pt>
                <c:pt idx="522">
                  <c:v>-48.114753083334719</c:v>
                </c:pt>
                <c:pt idx="523">
                  <c:v>-48.169107452035234</c:v>
                </c:pt>
                <c:pt idx="524">
                  <c:v>-48.223293399966998</c:v>
                </c:pt>
                <c:pt idx="525">
                  <c:v>-48.27731196095651</c:v>
                </c:pt>
                <c:pt idx="526">
                  <c:v>-48.331164159402221</c:v>
                </c:pt>
                <c:pt idx="527">
                  <c:v>-48.384851010388168</c:v>
                </c:pt>
                <c:pt idx="528">
                  <c:v>-48.438373519795739</c:v>
                </c:pt>
                <c:pt idx="529">
                  <c:v>-48.491732684413947</c:v>
                </c:pt>
                <c:pt idx="530">
                  <c:v>-48.544929492047899</c:v>
                </c:pt>
                <c:pt idx="531">
                  <c:v>-48.597964921625803</c:v>
                </c:pt>
                <c:pt idx="532">
                  <c:v>-48.650839943304327</c:v>
                </c:pt>
                <c:pt idx="533">
                  <c:v>-48.703555518572401</c:v>
                </c:pt>
                <c:pt idx="534">
                  <c:v>-48.756112600353532</c:v>
                </c:pt>
                <c:pt idx="535">
                  <c:v>-48.808512133106639</c:v>
                </c:pt>
                <c:pt idx="536">
                  <c:v>-48.860755052925349</c:v>
                </c:pt>
                <c:pt idx="537">
                  <c:v>-48.912842287635911</c:v>
                </c:pt>
                <c:pt idx="538">
                  <c:v>-48.964774756893654</c:v>
                </c:pt>
                <c:pt idx="539">
                  <c:v>-49.016553372278096</c:v>
                </c:pt>
                <c:pt idx="540">
                  <c:v>-49.068179037386642</c:v>
                </c:pt>
                <c:pt idx="541">
                  <c:v>-49.11965264792692</c:v>
                </c:pt>
                <c:pt idx="542">
                  <c:v>-49.170975091807861</c:v>
                </c:pt>
                <c:pt idx="543">
                  <c:v>-49.222147249229394</c:v>
                </c:pt>
                <c:pt idx="544">
                  <c:v>-49.273169992770967</c:v>
                </c:pt>
                <c:pt idx="545">
                  <c:v>-49.324044187478655</c:v>
                </c:pt>
                <c:pt idx="546">
                  <c:v>-49.374770690951237</c:v>
                </c:pt>
                <c:pt idx="547">
                  <c:v>-49.425350353424818</c:v>
                </c:pt>
                <c:pt idx="548">
                  <c:v>-49.475784017856519</c:v>
                </c:pt>
                <c:pt idx="549">
                  <c:v>-49.526072520006721</c:v>
                </c:pt>
                <c:pt idx="550">
                  <c:v>-49.57621668852039</c:v>
                </c:pt>
                <c:pt idx="551">
                  <c:v>-49.626217345007134</c:v>
                </c:pt>
                <c:pt idx="552">
                  <c:v>-49.676075304120118</c:v>
                </c:pt>
                <c:pt idx="553">
                  <c:v>-49.725791373634067</c:v>
                </c:pt>
                <c:pt idx="554">
                  <c:v>-49.775366354521864</c:v>
                </c:pt>
                <c:pt idx="555">
                  <c:v>-49.824801041030483</c:v>
                </c:pt>
                <c:pt idx="556">
                  <c:v>-49.87409622075554</c:v>
                </c:pt>
                <c:pt idx="557">
                  <c:v>-49.923252674714973</c:v>
                </c:pt>
                <c:pt idx="558">
                  <c:v>-49.972271177421717</c:v>
                </c:pt>
                <c:pt idx="559">
                  <c:v>-50.021152496955345</c:v>
                </c:pt>
                <c:pt idx="560">
                  <c:v>-50.069897395032683</c:v>
                </c:pt>
                <c:pt idx="561">
                  <c:v>-50.118506627077636</c:v>
                </c:pt>
                <c:pt idx="562">
                  <c:v>-50.166980942289797</c:v>
                </c:pt>
                <c:pt idx="563">
                  <c:v>-50.215321083712432</c:v>
                </c:pt>
                <c:pt idx="564">
                  <c:v>-50.263527788299285</c:v>
                </c:pt>
                <c:pt idx="565">
                  <c:v>-50.311601786980653</c:v>
                </c:pt>
                <c:pt idx="566">
                  <c:v>-50.359543804728432</c:v>
                </c:pt>
                <c:pt idx="567">
                  <c:v>-50.407354560620462</c:v>
                </c:pt>
                <c:pt idx="568">
                  <c:v>-50.455034767903875</c:v>
                </c:pt>
                <c:pt idx="569">
                  <c:v>-50.502585134057639</c:v>
                </c:pt>
                <c:pt idx="570">
                  <c:v>-50.550006360854255</c:v>
                </c:pt>
                <c:pt idx="571">
                  <c:v>-50.597299144420724</c:v>
                </c:pt>
                <c:pt idx="572">
                  <c:v>-50.644464175298545</c:v>
                </c:pt>
                <c:pt idx="573">
                  <c:v>-50.691502138503061</c:v>
                </c:pt>
                <c:pt idx="574">
                  <c:v>-50.738413713581984</c:v>
                </c:pt>
                <c:pt idx="575">
                  <c:v>-50.785199574673115</c:v>
                </c:pt>
                <c:pt idx="576">
                  <c:v>-50.831860390561346</c:v>
                </c:pt>
                <c:pt idx="577">
                  <c:v>-50.878396824734907</c:v>
                </c:pt>
                <c:pt idx="578">
                  <c:v>-50.924809535440886</c:v>
                </c:pt>
                <c:pt idx="579">
                  <c:v>-50.971099175739965</c:v>
                </c:pt>
                <c:pt idx="580">
                  <c:v>-51.017266393560604</c:v>
                </c:pt>
                <c:pt idx="581">
                  <c:v>-51.06331183175233</c:v>
                </c:pt>
                <c:pt idx="582">
                  <c:v>-51.109236128138477</c:v>
                </c:pt>
                <c:pt idx="583">
                  <c:v>-51.155039915568146</c:v>
                </c:pt>
                <c:pt idx="584">
                  <c:v>-51.200723821967635</c:v>
                </c:pt>
                <c:pt idx="585">
                  <c:v>-51.24628847039105</c:v>
                </c:pt>
                <c:pt idx="586">
                  <c:v>-51.291734479070399</c:v>
                </c:pt>
                <c:pt idx="587">
                  <c:v>-51.337062461464939</c:v>
                </c:pt>
                <c:pt idx="588">
                  <c:v>-51.382273026309981</c:v>
                </c:pt>
                <c:pt idx="589">
                  <c:v>-51.427366777665085</c:v>
                </c:pt>
                <c:pt idx="590">
                  <c:v>-51.472344314961546</c:v>
                </c:pt>
                <c:pt idx="591">
                  <c:v>-51.517206233049336</c:v>
                </c:pt>
                <c:pt idx="592">
                  <c:v>-51.561953122243523</c:v>
                </c:pt>
                <c:pt idx="593">
                  <c:v>-51.606585568369994</c:v>
                </c:pt>
                <c:pt idx="594">
                  <c:v>-51.65110415281066</c:v>
                </c:pt>
                <c:pt idx="595">
                  <c:v>-51.695509452548109</c:v>
                </c:pt>
                <c:pt idx="596">
                  <c:v>-51.739802040209653</c:v>
                </c:pt>
                <c:pt idx="597">
                  <c:v>-51.783982484110915</c:v>
                </c:pt>
                <c:pt idx="598">
                  <c:v>-51.828051348298764</c:v>
                </c:pt>
                <c:pt idx="599">
                  <c:v>-51.872009192593765</c:v>
                </c:pt>
                <c:pt idx="600">
                  <c:v>-51.915856572632215</c:v>
                </c:pt>
                <c:pt idx="601">
                  <c:v>-51.959594039907401</c:v>
                </c:pt>
                <c:pt idx="602">
                  <c:v>-52.003222141810646</c:v>
                </c:pt>
                <c:pt idx="603">
                  <c:v>-52.046741421671655</c:v>
                </c:pt>
                <c:pt idx="604">
                  <c:v>-52.090152418798425</c:v>
                </c:pt>
                <c:pt idx="605">
                  <c:v>-52.133455668516682</c:v>
                </c:pt>
                <c:pt idx="606">
                  <c:v>-54.172016854544438</c:v>
                </c:pt>
                <c:pt idx="607">
                  <c:v>-55.996949729276707</c:v>
                </c:pt>
                <c:pt idx="608">
                  <c:v>-57.64871690850434</c:v>
                </c:pt>
                <c:pt idx="609">
                  <c:v>-59.157295310015236</c:v>
                </c:pt>
                <c:pt idx="610">
                  <c:v>-60.545507023777873</c:v>
                </c:pt>
                <c:pt idx="611">
                  <c:v>-61.831126214498354</c:v>
                </c:pt>
                <c:pt idx="612">
                  <c:v>-63.028264341372676</c:v>
                </c:pt>
                <c:pt idx="613">
                  <c:v>-64.148311087046849</c:v>
                </c:pt>
                <c:pt idx="614">
                  <c:v>-65.200591572314039</c:v>
                </c:pt>
                <c:pt idx="615">
                  <c:v>-66.192836612865335</c:v>
                </c:pt>
                <c:pt idx="616">
                  <c:v>-67.131526369081328</c:v>
                </c:pt>
                <c:pt idx="617">
                  <c:v>-68.022146182804548</c:v>
                </c:pt>
                <c:pt idx="618">
                  <c:v>-68.366036463333415</c:v>
                </c:pt>
                <c:pt idx="619">
                  <c:v>-68.703254438340466</c:v>
                </c:pt>
                <c:pt idx="620">
                  <c:v>-69.034054253279834</c:v>
                </c:pt>
                <c:pt idx="621">
                  <c:v>-69.358675807690972</c:v>
                </c:pt>
                <c:pt idx="622">
                  <c:v>-69.677345800407394</c:v>
                </c:pt>
                <c:pt idx="623">
                  <c:v>-69.990278680633125</c:v>
                </c:pt>
                <c:pt idx="624">
                  <c:v>-70.297677514880405</c:v>
                </c:pt>
                <c:pt idx="625">
                  <c:v>-70.599734778545553</c:v>
                </c:pt>
                <c:pt idx="626">
                  <c:v>-70.89663307984992</c:v>
                </c:pt>
                <c:pt idx="627">
                  <c:v>-71.188545822964642</c:v>
                </c:pt>
                <c:pt idx="628">
                  <c:v>-71.475637816348311</c:v>
                </c:pt>
                <c:pt idx="629">
                  <c:v>-71.758065831641375</c:v>
                </c:pt>
                <c:pt idx="630">
                  <c:v>-72.035979117862453</c:v>
                </c:pt>
                <c:pt idx="631">
                  <c:v>-72.309519875128615</c:v>
                </c:pt>
                <c:pt idx="632">
                  <c:v>-72.57882369166397</c:v>
                </c:pt>
                <c:pt idx="633">
                  <c:v>-72.84401994745852</c:v>
                </c:pt>
                <c:pt idx="634">
                  <c:v>-73.10523218758523</c:v>
                </c:pt>
                <c:pt idx="635">
                  <c:v>-73.362578467871941</c:v>
                </c:pt>
                <c:pt idx="636">
                  <c:v>-73.616171675348753</c:v>
                </c:pt>
                <c:pt idx="637">
                  <c:v>-73.8661198256479</c:v>
                </c:pt>
                <c:pt idx="638">
                  <c:v>-74.11252633931737</c:v>
                </c:pt>
                <c:pt idx="639">
                  <c:v>-74.355490298816974</c:v>
                </c:pt>
                <c:pt idx="640">
                  <c:v>-74.595106687795209</c:v>
                </c:pt>
                <c:pt idx="641">
                  <c:v>-74.831466614093344</c:v>
                </c:pt>
                <c:pt idx="642">
                  <c:v>-75.06465751778633</c:v>
                </c:pt>
                <c:pt idx="643">
                  <c:v>-75.294763365450052</c:v>
                </c:pt>
                <c:pt idx="644">
                  <c:v>-75.521864831734376</c:v>
                </c:pt>
                <c:pt idx="645">
                  <c:v>-75.746039469224854</c:v>
                </c:pt>
                <c:pt idx="646">
                  <c:v>-75.967361867488009</c:v>
                </c:pt>
                <c:pt idx="647">
                  <c:v>-76.185903802115973</c:v>
                </c:pt>
                <c:pt idx="648">
                  <c:v>-76.401734374516323</c:v>
                </c:pt>
                <c:pt idx="649">
                  <c:v>-76.614920143127591</c:v>
                </c:pt>
                <c:pt idx="650">
                  <c:v>-76.82552524668445</c:v>
                </c:pt>
                <c:pt idx="651">
                  <c:v>-77.033611520103378</c:v>
                </c:pt>
                <c:pt idx="652">
                  <c:v>-77.23923860351286</c:v>
                </c:pt>
                <c:pt idx="653">
                  <c:v>-77.442464044908988</c:v>
                </c:pt>
                <c:pt idx="654">
                  <c:v>-77.643343396878649</c:v>
                </c:pt>
                <c:pt idx="655">
                  <c:v>-77.841930307796787</c:v>
                </c:pt>
                <c:pt idx="656">
                  <c:v>-78.03827660787266</c:v>
                </c:pt>
                <c:pt idx="657">
                  <c:v>-78.232432390389889</c:v>
                </c:pt>
                <c:pt idx="658">
                  <c:v>-78.424446088459263</c:v>
                </c:pt>
                <c:pt idx="659">
                  <c:v>-78.614364547578234</c:v>
                </c:pt>
                <c:pt idx="660">
                  <c:v>-78.80223309426917</c:v>
                </c:pt>
                <c:pt idx="661">
                  <c:v>-78.988095601047903</c:v>
                </c:pt>
                <c:pt idx="662">
                  <c:v>-79.171994547955492</c:v>
                </c:pt>
                <c:pt idx="663">
                  <c:v>-79.353971080869115</c:v>
                </c:pt>
                <c:pt idx="664">
                  <c:v>-79.534065066792351</c:v>
                </c:pt>
                <c:pt idx="665">
                  <c:v>-79.712315146310587</c:v>
                </c:pt>
                <c:pt idx="666">
                  <c:v>-79.888758783384276</c:v>
                </c:pt>
                <c:pt idx="667">
                  <c:v>-80.063432312640558</c:v>
                </c:pt>
              </c:numCache>
            </c:numRef>
          </c:yVal>
          <c:smooth val="1"/>
          <c:extLst>
            <c:ext xmlns:c16="http://schemas.microsoft.com/office/drawing/2014/chart" uri="{C3380CC4-5D6E-409C-BE32-E72D297353CC}">
              <c16:uniqueId val="{00000001-D6EE-4DCC-8A11-B110CFB8CEB8}"/>
            </c:ext>
          </c:extLst>
        </c:ser>
        <c:dLbls>
          <c:showLegendKey val="0"/>
          <c:showVal val="0"/>
          <c:showCatName val="0"/>
          <c:showSerName val="0"/>
          <c:showPercent val="0"/>
          <c:showBubbleSize val="0"/>
        </c:dLbls>
        <c:axId val="151515904"/>
        <c:axId val="151517824"/>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90.031557445700741</c:v>
                </c:pt>
                <c:pt idx="1">
                  <c:v>90.063114869038728</c:v>
                </c:pt>
                <c:pt idx="2">
                  <c:v>90.094672247651189</c:v>
                </c:pt>
                <c:pt idx="3">
                  <c:v>90.126229559175357</c:v>
                </c:pt>
                <c:pt idx="4">
                  <c:v>90.157786781248333</c:v>
                </c:pt>
                <c:pt idx="5">
                  <c:v>90.189343891507164</c:v>
                </c:pt>
                <c:pt idx="6">
                  <c:v>90.220900867588824</c:v>
                </c:pt>
                <c:pt idx="7">
                  <c:v>90.252457687130118</c:v>
                </c:pt>
                <c:pt idx="8">
                  <c:v>90.284014327767736</c:v>
                </c:pt>
                <c:pt idx="9">
                  <c:v>90.315570767138212</c:v>
                </c:pt>
                <c:pt idx="10">
                  <c:v>90.631119171027478</c:v>
                </c:pt>
                <c:pt idx="11">
                  <c:v>90.946622846384585</c:v>
                </c:pt>
                <c:pt idx="12">
                  <c:v>91.262059423854211</c:v>
                </c:pt>
                <c:pt idx="13">
                  <c:v>91.577406527963959</c:v>
                </c:pt>
                <c:pt idx="14">
                  <c:v>91.892641775068583</c:v>
                </c:pt>
                <c:pt idx="15">
                  <c:v>92.207742771280252</c:v>
                </c:pt>
                <c:pt idx="16">
                  <c:v>92.522687110380545</c:v>
                </c:pt>
                <c:pt idx="17">
                  <c:v>92.837452371711379</c:v>
                </c:pt>
                <c:pt idx="18">
                  <c:v>93.152016118040549</c:v>
                </c:pt>
                <c:pt idx="19">
                  <c:v>96.281617774821967</c:v>
                </c:pt>
                <c:pt idx="20">
                  <c:v>99.366175226209734</c:v>
                </c:pt>
                <c:pt idx="21">
                  <c:v>102.38259166298586</c:v>
                </c:pt>
                <c:pt idx="22">
                  <c:v>105.30697616129764</c:v>
                </c:pt>
                <c:pt idx="23">
                  <c:v>108.11419752728459</c:v>
                </c:pt>
                <c:pt idx="24">
                  <c:v>110.77726622251531</c:v>
                </c:pt>
                <c:pt idx="25">
                  <c:v>113.26647693355947</c:v>
                </c:pt>
                <c:pt idx="26">
                  <c:v>115.5482216079466</c:v>
                </c:pt>
                <c:pt idx="27">
                  <c:v>117.58334873939316</c:v>
                </c:pt>
                <c:pt idx="28">
                  <c:v>121.93148971786727</c:v>
                </c:pt>
                <c:pt idx="29">
                  <c:v>104.27147959902786</c:v>
                </c:pt>
                <c:pt idx="30">
                  <c:v>60.102180477685522</c:v>
                </c:pt>
                <c:pt idx="31">
                  <c:v>42.501556757007052</c:v>
                </c:pt>
                <c:pt idx="32">
                  <c:v>40.573128533227163</c:v>
                </c:pt>
                <c:pt idx="33">
                  <c:v>42.834115796828144</c:v>
                </c:pt>
                <c:pt idx="34">
                  <c:v>46.233196320779143</c:v>
                </c:pt>
                <c:pt idx="35">
                  <c:v>49.837098569593763</c:v>
                </c:pt>
                <c:pt idx="36">
                  <c:v>53.324617555350585</c:v>
                </c:pt>
                <c:pt idx="37">
                  <c:v>56.585759488560385</c:v>
                </c:pt>
                <c:pt idx="38">
                  <c:v>59.591561711288335</c:v>
                </c:pt>
                <c:pt idx="39">
                  <c:v>62.345476585532396</c:v>
                </c:pt>
                <c:pt idx="40">
                  <c:v>64.863520896506415</c:v>
                </c:pt>
                <c:pt idx="41">
                  <c:v>67.165758922585496</c:v>
                </c:pt>
                <c:pt idx="42">
                  <c:v>69.272604118623576</c:v>
                </c:pt>
                <c:pt idx="43">
                  <c:v>71.203272657275136</c:v>
                </c:pt>
                <c:pt idx="44">
                  <c:v>72.975222603941234</c:v>
                </c:pt>
                <c:pt idx="45">
                  <c:v>74.604044329065601</c:v>
                </c:pt>
                <c:pt idx="46">
                  <c:v>76.103549826291029</c:v>
                </c:pt>
                <c:pt idx="47">
                  <c:v>77.485940166741898</c:v>
                </c:pt>
                <c:pt idx="48">
                  <c:v>78.761993637830955</c:v>
                </c:pt>
                <c:pt idx="49">
                  <c:v>79.941248194891557</c:v>
                </c:pt>
                <c:pt idx="50">
                  <c:v>81.032167220552566</c:v>
                </c:pt>
                <c:pt idx="51">
                  <c:v>82.042285120433121</c:v>
                </c:pt>
                <c:pt idx="52">
                  <c:v>82.978332858933342</c:v>
                </c:pt>
                <c:pt idx="53">
                  <c:v>83.846345106104906</c:v>
                </c:pt>
                <c:pt idx="54">
                  <c:v>84.651751224498</c:v>
                </c:pt>
                <c:pt idx="55">
                  <c:v>85.399452389965845</c:v>
                </c:pt>
                <c:pt idx="56">
                  <c:v>86.093886980267271</c:v>
                </c:pt>
                <c:pt idx="57">
                  <c:v>86.739086117340094</c:v>
                </c:pt>
                <c:pt idx="58">
                  <c:v>87.3387209821108</c:v>
                </c:pt>
                <c:pt idx="59">
                  <c:v>87.896143267249997</c:v>
                </c:pt>
                <c:pt idx="60">
                  <c:v>88.414419907025888</c:v>
                </c:pt>
                <c:pt idx="61">
                  <c:v>88.896363028319328</c:v>
                </c:pt>
                <c:pt idx="62">
                  <c:v>89.344555902158035</c:v>
                </c:pt>
                <c:pt idx="63">
                  <c:v>89.761375537938122</c:v>
                </c:pt>
                <c:pt idx="64">
                  <c:v>90.149012449206751</c:v>
                </c:pt>
                <c:pt idx="65">
                  <c:v>90.509488026849255</c:v>
                </c:pt>
                <c:pt idx="66">
                  <c:v>90.844669879389954</c:v>
                </c:pt>
                <c:pt idx="67">
                  <c:v>91.15628543792684</c:v>
                </c:pt>
                <c:pt idx="68">
                  <c:v>91.44593407246829</c:v>
                </c:pt>
                <c:pt idx="69">
                  <c:v>91.715097925008109</c:v>
                </c:pt>
                <c:pt idx="70">
                  <c:v>91.965151630831514</c:v>
                </c:pt>
                <c:pt idx="71">
                  <c:v>92.197371071855059</c:v>
                </c:pt>
                <c:pt idx="72">
                  <c:v>92.412941283110413</c:v>
                </c:pt>
                <c:pt idx="73">
                  <c:v>92.612963614833987</c:v>
                </c:pt>
                <c:pt idx="74">
                  <c:v>92.798462237265113</c:v>
                </c:pt>
                <c:pt idx="75">
                  <c:v>92.970390062556646</c:v>
                </c:pt>
                <c:pt idx="76">
                  <c:v>93.129634147676342</c:v>
                </c:pt>
                <c:pt idx="77">
                  <c:v>93.277020633410444</c:v>
                </c:pt>
                <c:pt idx="78">
                  <c:v>93.413319267255758</c:v>
                </c:pt>
                <c:pt idx="79">
                  <c:v>93.539247551838073</c:v>
                </c:pt>
                <c:pt idx="80">
                  <c:v>93.655474555306711</c:v>
                </c:pt>
                <c:pt idx="81">
                  <c:v>93.762624415765728</c:v>
                </c:pt>
                <c:pt idx="82">
                  <c:v>93.861279568060723</c:v>
                </c:pt>
                <c:pt idx="83">
                  <c:v>93.951983718041035</c:v>
                </c:pt>
                <c:pt idx="84">
                  <c:v>94.035244586668654</c:v>
                </c:pt>
                <c:pt idx="85">
                  <c:v>94.111536443969698</c:v>
                </c:pt>
                <c:pt idx="86">
                  <c:v>94.181302450760711</c:v>
                </c:pt>
                <c:pt idx="87">
                  <c:v>94.2449568242846</c:v>
                </c:pt>
                <c:pt idx="88">
                  <c:v>94.302886842314493</c:v>
                </c:pt>
                <c:pt idx="89">
                  <c:v>94.35545469889675</c:v>
                </c:pt>
                <c:pt idx="90">
                  <c:v>94.402999223677639</c:v>
                </c:pt>
                <c:pt idx="91">
                  <c:v>94.445837475669919</c:v>
                </c:pt>
                <c:pt idx="92">
                  <c:v>94.484266221346516</c:v>
                </c:pt>
                <c:pt idx="93">
                  <c:v>94.518563306081688</c:v>
                </c:pt>
                <c:pt idx="94">
                  <c:v>94.548988927181782</c:v>
                </c:pt>
                <c:pt idx="95">
                  <c:v>94.575786816049131</c:v>
                </c:pt>
                <c:pt idx="96">
                  <c:v>94.5991853363915</c:v>
                </c:pt>
                <c:pt idx="97">
                  <c:v>94.619398504818477</c:v>
                </c:pt>
                <c:pt idx="98">
                  <c:v>94.636626939649233</c:v>
                </c:pt>
                <c:pt idx="99">
                  <c:v>94.651058743285262</c:v>
                </c:pt>
                <c:pt idx="100">
                  <c:v>94.662870323074912</c:v>
                </c:pt>
                <c:pt idx="101">
                  <c:v>94.672227155206414</c:v>
                </c:pt>
                <c:pt idx="102">
                  <c:v>94.679284495808119</c:v>
                </c:pt>
                <c:pt idx="103">
                  <c:v>94.684188043112229</c:v>
                </c:pt>
                <c:pt idx="104">
                  <c:v>94.687074554236858</c:v>
                </c:pt>
                <c:pt idx="105">
                  <c:v>94.688072419869968</c:v>
                </c:pt>
                <c:pt idx="106">
                  <c:v>94.687302199887426</c:v>
                </c:pt>
                <c:pt idx="107">
                  <c:v>94.684877122706368</c:v>
                </c:pt>
                <c:pt idx="108">
                  <c:v>94.680903550964899</c:v>
                </c:pt>
                <c:pt idx="109">
                  <c:v>94.67548141592286</c:v>
                </c:pt>
                <c:pt idx="110">
                  <c:v>94.668704622800206</c:v>
                </c:pt>
                <c:pt idx="111">
                  <c:v>94.660661429104124</c:v>
                </c:pt>
                <c:pt idx="112">
                  <c:v>94.651434797843493</c:v>
                </c:pt>
                <c:pt idx="113">
                  <c:v>94.641102727390347</c:v>
                </c:pt>
                <c:pt idx="114">
                  <c:v>94.62973855961701</c:v>
                </c:pt>
                <c:pt idx="115">
                  <c:v>94.617411267819065</c:v>
                </c:pt>
                <c:pt idx="116">
                  <c:v>94.604185725824266</c:v>
                </c:pt>
                <c:pt idx="117">
                  <c:v>94.590122959585543</c:v>
                </c:pt>
                <c:pt idx="118">
                  <c:v>94.57528038246096</c:v>
                </c:pt>
                <c:pt idx="119">
                  <c:v>94.559712015299624</c:v>
                </c:pt>
                <c:pt idx="120">
                  <c:v>94.543468692368194</c:v>
                </c:pt>
                <c:pt idx="121">
                  <c:v>94.526598254081989</c:v>
                </c:pt>
                <c:pt idx="122">
                  <c:v>94.509145727433278</c:v>
                </c:pt>
                <c:pt idx="123">
                  <c:v>94.491153494947426</c:v>
                </c:pt>
                <c:pt idx="124">
                  <c:v>94.4726614529377</c:v>
                </c:pt>
                <c:pt idx="125">
                  <c:v>94.453707159775192</c:v>
                </c:pt>
                <c:pt idx="126">
                  <c:v>94.43432597484059</c:v>
                </c:pt>
                <c:pt idx="127">
                  <c:v>94.414551188776855</c:v>
                </c:pt>
                <c:pt idx="128">
                  <c:v>94.394414145618157</c:v>
                </c:pt>
                <c:pt idx="129">
                  <c:v>94.373944357332334</c:v>
                </c:pt>
                <c:pt idx="130">
                  <c:v>94.353169611274211</c:v>
                </c:pt>
                <c:pt idx="131">
                  <c:v>94.332116071014553</c:v>
                </c:pt>
                <c:pt idx="132">
                  <c:v>94.310808370976531</c:v>
                </c:pt>
                <c:pt idx="133">
                  <c:v>94.289269705282308</c:v>
                </c:pt>
                <c:pt idx="134">
                  <c:v>94.267521911183934</c:v>
                </c:pt>
                <c:pt idx="135">
                  <c:v>94.245585547428718</c:v>
                </c:pt>
                <c:pt idx="136">
                  <c:v>94.223479967883293</c:v>
                </c:pt>
                <c:pt idx="137">
                  <c:v>94.201223390721267</c:v>
                </c:pt>
                <c:pt idx="138">
                  <c:v>94.178832963455775</c:v>
                </c:pt>
                <c:pt idx="139">
                  <c:v>94.156324824082105</c:v>
                </c:pt>
                <c:pt idx="140">
                  <c:v>94.133714158575671</c:v>
                </c:pt>
                <c:pt idx="141">
                  <c:v>94.111015254975499</c:v>
                </c:pt>
                <c:pt idx="142">
                  <c:v>94.088241554267441</c:v>
                </c:pt>
                <c:pt idx="143">
                  <c:v>94.065405698267426</c:v>
                </c:pt>
                <c:pt idx="144">
                  <c:v>94.042519574691696</c:v>
                </c:pt>
                <c:pt idx="145">
                  <c:v>94.019594359588226</c:v>
                </c:pt>
                <c:pt idx="146">
                  <c:v>93.996640557293659</c:v>
                </c:pt>
                <c:pt idx="147">
                  <c:v>93.973668038066492</c:v>
                </c:pt>
                <c:pt idx="148">
                  <c:v>93.950686073541235</c:v>
                </c:pt>
                <c:pt idx="149">
                  <c:v>93.927703370134466</c:v>
                </c:pt>
                <c:pt idx="150">
                  <c:v>93.904728100529965</c:v>
                </c:pt>
                <c:pt idx="151">
                  <c:v>93.881767933357565</c:v>
                </c:pt>
                <c:pt idx="152">
                  <c:v>93.858830061175908</c:v>
                </c:pt>
                <c:pt idx="153">
                  <c:v>93.835921226861217</c:v>
                </c:pt>
                <c:pt idx="154">
                  <c:v>93.813047748497624</c:v>
                </c:pt>
                <c:pt idx="155">
                  <c:v>93.790215542858533</c:v>
                </c:pt>
                <c:pt idx="156">
                  <c:v>93.767430147563388</c:v>
                </c:pt>
                <c:pt idx="157">
                  <c:v>93.744696741987823</c:v>
                </c:pt>
                <c:pt idx="158">
                  <c:v>93.722020167001688</c:v>
                </c:pt>
                <c:pt idx="159">
                  <c:v>93.699404943603682</c:v>
                </c:pt>
                <c:pt idx="160">
                  <c:v>93.676855290516954</c:v>
                </c:pt>
                <c:pt idx="161">
                  <c:v>93.654375140807403</c:v>
                </c:pt>
                <c:pt idx="162">
                  <c:v>93.631968157580843</c:v>
                </c:pt>
                <c:pt idx="163">
                  <c:v>93.609637748812929</c:v>
                </c:pt>
                <c:pt idx="164">
                  <c:v>93.587387081362039</c:v>
                </c:pt>
                <c:pt idx="165">
                  <c:v>93.565219094212154</c:v>
                </c:pt>
                <c:pt idx="166">
                  <c:v>93.543136510989939</c:v>
                </c:pt>
                <c:pt idx="167">
                  <c:v>93.521141851798106</c:v>
                </c:pt>
                <c:pt idx="168">
                  <c:v>93.499237444403107</c:v>
                </c:pt>
                <c:pt idx="169">
                  <c:v>93.477425434814947</c:v>
                </c:pt>
                <c:pt idx="170">
                  <c:v>93.455707797293101</c:v>
                </c:pt>
                <c:pt idx="171">
                  <c:v>93.43408634381089</c:v>
                </c:pt>
                <c:pt idx="172">
                  <c:v>93.412562733008954</c:v>
                </c:pt>
                <c:pt idx="173">
                  <c:v>93.391138478666548</c:v>
                </c:pt>
                <c:pt idx="174">
                  <c:v>93.369814957717779</c:v>
                </c:pt>
                <c:pt idx="175">
                  <c:v>93.348593417837606</c:v>
                </c:pt>
                <c:pt idx="176">
                  <c:v>93.327474984622214</c:v>
                </c:pt>
                <c:pt idx="177">
                  <c:v>93.306460668385881</c:v>
                </c:pt>
                <c:pt idx="178">
                  <c:v>93.285551370595655</c:v>
                </c:pt>
                <c:pt idx="179">
                  <c:v>93.264747889963544</c:v>
                </c:pt>
                <c:pt idx="180">
                  <c:v>93.244050928215373</c:v>
                </c:pt>
                <c:pt idx="181">
                  <c:v>93.223461095553787</c:v>
                </c:pt>
                <c:pt idx="182">
                  <c:v>93.202978915832233</c:v>
                </c:pt>
                <c:pt idx="183">
                  <c:v>93.182604831455492</c:v>
                </c:pt>
                <c:pt idx="184">
                  <c:v>93.162339208021663</c:v>
                </c:pt>
                <c:pt idx="185">
                  <c:v>93.142182338719664</c:v>
                </c:pt>
                <c:pt idx="186">
                  <c:v>93.122134448495373</c:v>
                </c:pt>
                <c:pt idx="187">
                  <c:v>93.102195697998809</c:v>
                </c:pt>
                <c:pt idx="188">
                  <c:v>93.082366187324297</c:v>
                </c:pt>
                <c:pt idx="189">
                  <c:v>93.06264595955416</c:v>
                </c:pt>
                <c:pt idx="190">
                  <c:v>93.043035004117385</c:v>
                </c:pt>
                <c:pt idx="191">
                  <c:v>93.023533259971842</c:v>
                </c:pt>
                <c:pt idx="192">
                  <c:v>93.00414061862098</c:v>
                </c:pt>
                <c:pt idx="193">
                  <c:v>92.984856926971744</c:v>
                </c:pt>
                <c:pt idx="194">
                  <c:v>92.965681990044303</c:v>
                </c:pt>
                <c:pt idx="195">
                  <c:v>92.946615573539745</c:v>
                </c:pt>
                <c:pt idx="196">
                  <c:v>92.927657406273809</c:v>
                </c:pt>
                <c:pt idx="197">
                  <c:v>92.908807182483883</c:v>
                </c:pt>
                <c:pt idx="198">
                  <c:v>92.89006456401539</c:v>
                </c:pt>
                <c:pt idx="199">
                  <c:v>92.871429182394365</c:v>
                </c:pt>
                <c:pt idx="200">
                  <c:v>92.852900640791603</c:v>
                </c:pt>
                <c:pt idx="201">
                  <c:v>92.834478515884641</c:v>
                </c:pt>
                <c:pt idx="202">
                  <c:v>92.816162359622169</c:v>
                </c:pt>
                <c:pt idx="203">
                  <c:v>92.797951700896618</c:v>
                </c:pt>
                <c:pt idx="204">
                  <c:v>92.779846047129126</c:v>
                </c:pt>
                <c:pt idx="205">
                  <c:v>92.761844885771481</c:v>
                </c:pt>
                <c:pt idx="206">
                  <c:v>92.743947685729694</c:v>
                </c:pt>
                <c:pt idx="207">
                  <c:v>92.726153898712795</c:v>
                </c:pt>
                <c:pt idx="208">
                  <c:v>92.708462960510673</c:v>
                </c:pt>
                <c:pt idx="209">
                  <c:v>92.69087429220501</c:v>
                </c:pt>
                <c:pt idx="210">
                  <c:v>92.673387301316239</c:v>
                </c:pt>
                <c:pt idx="211">
                  <c:v>92.656001382890253</c:v>
                </c:pt>
                <c:pt idx="212">
                  <c:v>92.638715920527162</c:v>
                </c:pt>
                <c:pt idx="213">
                  <c:v>92.621530287356165</c:v>
                </c:pt>
                <c:pt idx="214">
                  <c:v>92.604443846958247</c:v>
                </c:pt>
                <c:pt idx="215">
                  <c:v>92.5874559542399</c:v>
                </c:pt>
                <c:pt idx="216">
                  <c:v>92.570565956259983</c:v>
                </c:pt>
                <c:pt idx="217">
                  <c:v>92.553773193012702</c:v>
                </c:pt>
                <c:pt idx="218">
                  <c:v>92.537076998168033</c:v>
                </c:pt>
                <c:pt idx="219">
                  <c:v>92.520476699772516</c:v>
                </c:pt>
                <c:pt idx="220">
                  <c:v>92.503971620912139</c:v>
                </c:pt>
                <c:pt idx="221">
                  <c:v>92.48756108033885</c:v>
                </c:pt>
                <c:pt idx="222">
                  <c:v>92.471244393063301</c:v>
                </c:pt>
                <c:pt idx="223">
                  <c:v>92.455020870914694</c:v>
                </c:pt>
                <c:pt idx="224">
                  <c:v>92.4388898230699</c:v>
                </c:pt>
                <c:pt idx="225">
                  <c:v>92.42285055655347</c:v>
                </c:pt>
                <c:pt idx="226">
                  <c:v>92.267352740513829</c:v>
                </c:pt>
                <c:pt idx="227">
                  <c:v>92.120269972942566</c:v>
                </c:pt>
                <c:pt idx="228">
                  <c:v>91.98092743535679</c:v>
                </c:pt>
                <c:pt idx="229">
                  <c:v>91.848686260153983</c:v>
                </c:pt>
                <c:pt idx="230">
                  <c:v>91.72295218862422</c:v>
                </c:pt>
                <c:pt idx="231">
                  <c:v>91.603178574486677</c:v>
                </c:pt>
                <c:pt idx="232">
                  <c:v>91.488866120649675</c:v>
                </c:pt>
                <c:pt idx="233">
                  <c:v>91.379560804589474</c:v>
                </c:pt>
                <c:pt idx="234">
                  <c:v>91.274850876954986</c:v>
                </c:pt>
                <c:pt idx="235">
                  <c:v>91.174363466295773</c:v>
                </c:pt>
                <c:pt idx="236">
                  <c:v>91.077761105235595</c:v>
                </c:pt>
                <c:pt idx="237">
                  <c:v>90.984738358686755</c:v>
                </c:pt>
                <c:pt idx="238">
                  <c:v>90.895018651509474</c:v>
                </c:pt>
                <c:pt idx="239">
                  <c:v>90.808351342050727</c:v>
                </c:pt>
                <c:pt idx="240">
                  <c:v>90.724509057235835</c:v>
                </c:pt>
                <c:pt idx="241">
                  <c:v>90.643285286806702</c:v>
                </c:pt>
                <c:pt idx="242">
                  <c:v>90.564492224157831</c:v>
                </c:pt>
                <c:pt idx="243">
                  <c:v>90.487958836009014</c:v>
                </c:pt>
                <c:pt idx="244">
                  <c:v>90.41352914097061</c:v>
                </c:pt>
                <c:pt idx="245">
                  <c:v>90.341060676689267</c:v>
                </c:pt>
                <c:pt idx="246">
                  <c:v>90.270423135947198</c:v>
                </c:pt>
                <c:pt idx="247">
                  <c:v>90.201497153340085</c:v>
                </c:pt>
                <c:pt idx="248">
                  <c:v>90.134173225683341</c:v>
                </c:pt>
                <c:pt idx="249">
                  <c:v>90.068350750904585</c:v>
                </c:pt>
                <c:pt idx="250">
                  <c:v>90.003937171767177</c:v>
                </c:pt>
                <c:pt idx="251">
                  <c:v>89.940847212272459</c:v>
                </c:pt>
                <c:pt idx="252">
                  <c:v>89.879002195976753</c:v>
                </c:pt>
                <c:pt idx="253">
                  <c:v>89.818329436718145</c:v>
                </c:pt>
                <c:pt idx="254">
                  <c:v>89.758761693380052</c:v>
                </c:pt>
                <c:pt idx="255">
                  <c:v>89.700236681322508</c:v>
                </c:pt>
                <c:pt idx="256">
                  <c:v>89.642696634004608</c:v>
                </c:pt>
                <c:pt idx="257">
                  <c:v>89.58608790910327</c:v>
                </c:pt>
                <c:pt idx="258">
                  <c:v>89.53036063412371</c:v>
                </c:pt>
                <c:pt idx="259">
                  <c:v>89.475468387100136</c:v>
                </c:pt>
                <c:pt idx="260">
                  <c:v>89.421367908514398</c:v>
                </c:pt>
                <c:pt idx="261">
                  <c:v>89.36801884102178</c:v>
                </c:pt>
                <c:pt idx="262">
                  <c:v>89.315383493979411</c:v>
                </c:pt>
                <c:pt idx="263">
                  <c:v>89.26342663012538</c:v>
                </c:pt>
                <c:pt idx="264">
                  <c:v>89.212115272067052</c:v>
                </c:pt>
                <c:pt idx="265">
                  <c:v>89.161418526507958</c:v>
                </c:pt>
                <c:pt idx="266">
                  <c:v>89.111307424380655</c:v>
                </c:pt>
                <c:pt idx="267">
                  <c:v>89.061754775260439</c:v>
                </c:pt>
                <c:pt idx="268">
                  <c:v>89.012735034619013</c:v>
                </c:pt>
                <c:pt idx="269">
                  <c:v>88.964224182636457</c:v>
                </c:pt>
                <c:pt idx="270">
                  <c:v>88.916199613431502</c:v>
                </c:pt>
                <c:pt idx="271">
                  <c:v>88.868640033695712</c:v>
                </c:pt>
                <c:pt idx="272">
                  <c:v>88.82152536982467</c:v>
                </c:pt>
                <c:pt idx="273">
                  <c:v>88.77483668273787</c:v>
                </c:pt>
                <c:pt idx="274">
                  <c:v>88.728556089664252</c:v>
                </c:pt>
                <c:pt idx="275">
                  <c:v>88.682666692244524</c:v>
                </c:pt>
                <c:pt idx="276">
                  <c:v>88.637152510370527</c:v>
                </c:pt>
                <c:pt idx="277">
                  <c:v>88.591998421239992</c:v>
                </c:pt>
                <c:pt idx="278">
                  <c:v>88.547190103158002</c:v>
                </c:pt>
                <c:pt idx="279">
                  <c:v>88.502713983664094</c:v>
                </c:pt>
                <c:pt idx="280">
                  <c:v>88.458557191604527</c:v>
                </c:pt>
                <c:pt idx="281">
                  <c:v>88.414707512807837</c:v>
                </c:pt>
                <c:pt idx="282">
                  <c:v>88.371153349053685</c:v>
                </c:pt>
                <c:pt idx="283">
                  <c:v>88.327883680056146</c:v>
                </c:pt>
                <c:pt idx="284">
                  <c:v>88.284888028207675</c:v>
                </c:pt>
                <c:pt idx="285">
                  <c:v>88.242156425854589</c:v>
                </c:pt>
                <c:pt idx="286">
                  <c:v>88.199679384896584</c:v>
                </c:pt>
                <c:pt idx="287">
                  <c:v>88.157447868520691</c:v>
                </c:pt>
                <c:pt idx="288">
                  <c:v>88.115453264898534</c:v>
                </c:pt>
                <c:pt idx="289">
                  <c:v>88.07368736269072</c:v>
                </c:pt>
                <c:pt idx="290">
                  <c:v>88.032142328215841</c:v>
                </c:pt>
                <c:pt idx="291">
                  <c:v>87.990810684154624</c:v>
                </c:pt>
                <c:pt idx="292">
                  <c:v>87.949685289670782</c:v>
                </c:pt>
                <c:pt idx="293">
                  <c:v>87.908759321840662</c:v>
                </c:pt>
                <c:pt idx="294">
                  <c:v>87.868026258292659</c:v>
                </c:pt>
                <c:pt idx="295">
                  <c:v>87.827479860965866</c:v>
                </c:pt>
                <c:pt idx="296">
                  <c:v>87.787114160905489</c:v>
                </c:pt>
                <c:pt idx="297">
                  <c:v>87.746923444018677</c:v>
                </c:pt>
                <c:pt idx="298">
                  <c:v>87.706902237721465</c:v>
                </c:pt>
                <c:pt idx="299">
                  <c:v>87.667045298412219</c:v>
                </c:pt>
                <c:pt idx="300">
                  <c:v>87.627347599713389</c:v>
                </c:pt>
                <c:pt idx="301">
                  <c:v>87.587804321427313</c:v>
                </c:pt>
                <c:pt idx="302">
                  <c:v>87.548410839155693</c:v>
                </c:pt>
                <c:pt idx="303">
                  <c:v>87.509162714537709</c:v>
                </c:pt>
                <c:pt idx="304">
                  <c:v>87.470055686063617</c:v>
                </c:pt>
                <c:pt idx="305">
                  <c:v>87.431085660425367</c:v>
                </c:pt>
                <c:pt idx="306">
                  <c:v>87.392248704367688</c:v>
                </c:pt>
                <c:pt idx="307">
                  <c:v>87.353541037006764</c:v>
                </c:pt>
                <c:pt idx="308">
                  <c:v>87.314959022585086</c:v>
                </c:pt>
                <c:pt idx="309">
                  <c:v>87.276499163634654</c:v>
                </c:pt>
                <c:pt idx="310">
                  <c:v>87.238158094521097</c:v>
                </c:pt>
                <c:pt idx="311">
                  <c:v>87.199932575345343</c:v>
                </c:pt>
                <c:pt idx="312">
                  <c:v>87.161819486179212</c:v>
                </c:pt>
                <c:pt idx="313">
                  <c:v>87.123815821614187</c:v>
                </c:pt>
                <c:pt idx="314">
                  <c:v>87.085918685603744</c:v>
                </c:pt>
                <c:pt idx="315">
                  <c:v>87.04812528658104</c:v>
                </c:pt>
                <c:pt idx="316">
                  <c:v>87.010432932834959</c:v>
                </c:pt>
                <c:pt idx="317">
                  <c:v>86.972839028128845</c:v>
                </c:pt>
                <c:pt idx="318">
                  <c:v>86.935341067546929</c:v>
                </c:pt>
                <c:pt idx="319">
                  <c:v>86.897936633555588</c:v>
                </c:pt>
                <c:pt idx="320">
                  <c:v>86.860623392265367</c:v>
                </c:pt>
                <c:pt idx="321">
                  <c:v>86.823399089883253</c:v>
                </c:pt>
                <c:pt idx="322">
                  <c:v>86.786261549343294</c:v>
                </c:pt>
                <c:pt idx="323">
                  <c:v>86.749208667105293</c:v>
                </c:pt>
                <c:pt idx="324">
                  <c:v>86.712238410112093</c:v>
                </c:pt>
                <c:pt idx="325">
                  <c:v>86.675348812896289</c:v>
                </c:pt>
                <c:pt idx="326">
                  <c:v>86.638537974827813</c:v>
                </c:pt>
                <c:pt idx="327">
                  <c:v>86.601804057494761</c:v>
                </c:pt>
                <c:pt idx="328">
                  <c:v>86.565145282209613</c:v>
                </c:pt>
                <c:pt idx="329">
                  <c:v>86.528559927634163</c:v>
                </c:pt>
                <c:pt idx="330">
                  <c:v>86.49204632751686</c:v>
                </c:pt>
                <c:pt idx="331">
                  <c:v>86.455602868535607</c:v>
                </c:pt>
                <c:pt idx="332">
                  <c:v>86.419227988241431</c:v>
                </c:pt>
                <c:pt idx="333">
                  <c:v>86.382920173096892</c:v>
                </c:pt>
                <c:pt idx="334">
                  <c:v>86.346677956603997</c:v>
                </c:pt>
                <c:pt idx="335">
                  <c:v>86.310499917517674</c:v>
                </c:pt>
                <c:pt idx="336">
                  <c:v>86.274384678139668</c:v>
                </c:pt>
                <c:pt idx="337">
                  <c:v>86.238330902688702</c:v>
                </c:pt>
                <c:pt idx="338">
                  <c:v>86.202337295743519</c:v>
                </c:pt>
                <c:pt idx="339">
                  <c:v>86.166402600754139</c:v>
                </c:pt>
                <c:pt idx="340">
                  <c:v>86.130525598618775</c:v>
                </c:pt>
                <c:pt idx="341">
                  <c:v>86.09470510632255</c:v>
                </c:pt>
                <c:pt idx="342">
                  <c:v>86.058939975634829</c:v>
                </c:pt>
                <c:pt idx="343">
                  <c:v>86.023229091862873</c:v>
                </c:pt>
                <c:pt idx="344">
                  <c:v>85.987571372657982</c:v>
                </c:pt>
                <c:pt idx="345">
                  <c:v>85.951965766872746</c:v>
                </c:pt>
                <c:pt idx="346">
                  <c:v>85.916411253465995</c:v>
                </c:pt>
                <c:pt idx="347">
                  <c:v>85.880906840453349</c:v>
                </c:pt>
                <c:pt idx="348">
                  <c:v>85.845451563901563</c:v>
                </c:pt>
                <c:pt idx="349">
                  <c:v>85.810044486963932</c:v>
                </c:pt>
                <c:pt idx="350">
                  <c:v>85.774684698955411</c:v>
                </c:pt>
                <c:pt idx="351">
                  <c:v>85.739371314465004</c:v>
                </c:pt>
                <c:pt idx="352">
                  <c:v>85.704103472504514</c:v>
                </c:pt>
                <c:pt idx="353">
                  <c:v>85.668880335690375</c:v>
                </c:pt>
                <c:pt idx="354">
                  <c:v>85.633701089459379</c:v>
                </c:pt>
                <c:pt idx="355">
                  <c:v>85.59856494131418</c:v>
                </c:pt>
                <c:pt idx="356">
                  <c:v>85.563471120099493</c:v>
                </c:pt>
                <c:pt idx="357">
                  <c:v>85.528418875305562</c:v>
                </c:pt>
                <c:pt idx="358">
                  <c:v>85.49340747639954</c:v>
                </c:pt>
                <c:pt idx="359">
                  <c:v>85.458436212182107</c:v>
                </c:pt>
                <c:pt idx="360">
                  <c:v>85.423504390168858</c:v>
                </c:pt>
                <c:pt idx="361">
                  <c:v>85.388611335995279</c:v>
                </c:pt>
                <c:pt idx="362">
                  <c:v>85.353756392844147</c:v>
                </c:pt>
                <c:pt idx="363">
                  <c:v>85.318938920894738</c:v>
                </c:pt>
                <c:pt idx="364">
                  <c:v>85.284158296792015</c:v>
                </c:pt>
                <c:pt idx="365">
                  <c:v>85.249413913136209</c:v>
                </c:pt>
                <c:pt idx="366">
                  <c:v>85.214705177990723</c:v>
                </c:pt>
                <c:pt idx="367">
                  <c:v>85.180031514408483</c:v>
                </c:pt>
                <c:pt idx="368">
                  <c:v>85.145392359975062</c:v>
                </c:pt>
                <c:pt idx="369">
                  <c:v>85.110787166369093</c:v>
                </c:pt>
                <c:pt idx="370">
                  <c:v>85.076215398937606</c:v>
                </c:pt>
                <c:pt idx="371">
                  <c:v>85.041676536287355</c:v>
                </c:pt>
                <c:pt idx="372">
                  <c:v>85.007170069890407</c:v>
                </c:pt>
                <c:pt idx="373">
                  <c:v>84.972695503703449</c:v>
                </c:pt>
                <c:pt idx="374">
                  <c:v>84.938252353800905</c:v>
                </c:pt>
                <c:pt idx="375">
                  <c:v>84.903840148020663</c:v>
                </c:pt>
                <c:pt idx="376">
                  <c:v>84.869458425622142</c:v>
                </c:pt>
                <c:pt idx="377">
                  <c:v>84.83510673695622</c:v>
                </c:pt>
                <c:pt idx="378">
                  <c:v>84.800784643146358</c:v>
                </c:pt>
                <c:pt idx="379">
                  <c:v>84.766491715781072</c:v>
                </c:pt>
                <c:pt idx="380">
                  <c:v>84.732227536616278</c:v>
                </c:pt>
                <c:pt idx="381">
                  <c:v>84.697991697288032</c:v>
                </c:pt>
                <c:pt idx="382">
                  <c:v>84.663783799034988</c:v>
                </c:pt>
                <c:pt idx="383">
                  <c:v>84.629603452429848</c:v>
                </c:pt>
                <c:pt idx="384">
                  <c:v>84.595450277120165</c:v>
                </c:pt>
                <c:pt idx="385">
                  <c:v>84.561323901577154</c:v>
                </c:pt>
                <c:pt idx="386">
                  <c:v>84.52722396285327</c:v>
                </c:pt>
                <c:pt idx="387">
                  <c:v>84.493150106347613</c:v>
                </c:pt>
                <c:pt idx="388">
                  <c:v>84.459101985578599</c:v>
                </c:pt>
                <c:pt idx="389">
                  <c:v>84.425079261964498</c:v>
                </c:pt>
                <c:pt idx="390">
                  <c:v>84.391081604610676</c:v>
                </c:pt>
                <c:pt idx="391">
                  <c:v>84.357108690103942</c:v>
                </c:pt>
                <c:pt idx="392">
                  <c:v>84.323160202313034</c:v>
                </c:pt>
                <c:pt idx="393">
                  <c:v>84.2892358321958</c:v>
                </c:pt>
                <c:pt idx="394">
                  <c:v>84.255335277612474</c:v>
                </c:pt>
                <c:pt idx="395">
                  <c:v>84.221458243144383</c:v>
                </c:pt>
                <c:pt idx="396">
                  <c:v>84.187604439918729</c:v>
                </c:pt>
                <c:pt idx="397">
                  <c:v>84.153773585438685</c:v>
                </c:pt>
                <c:pt idx="398">
                  <c:v>84.119965403418689</c:v>
                </c:pt>
                <c:pt idx="399">
                  <c:v>84.086179623624702</c:v>
                </c:pt>
                <c:pt idx="400">
                  <c:v>84.052415981719705</c:v>
                </c:pt>
                <c:pt idx="401">
                  <c:v>84.018674219113507</c:v>
                </c:pt>
                <c:pt idx="402">
                  <c:v>83.984954082817254</c:v>
                </c:pt>
                <c:pt idx="403">
                  <c:v>83.951255325302213</c:v>
                </c:pt>
                <c:pt idx="404">
                  <c:v>83.917577704363168</c:v>
                </c:pt>
                <c:pt idx="405">
                  <c:v>83.883920982985288</c:v>
                </c:pt>
                <c:pt idx="406">
                  <c:v>83.850284929215448</c:v>
                </c:pt>
                <c:pt idx="407">
                  <c:v>83.81666931603705</c:v>
                </c:pt>
                <c:pt idx="408">
                  <c:v>83.783073921248771</c:v>
                </c:pt>
                <c:pt idx="409">
                  <c:v>83.749498527346418</c:v>
                </c:pt>
                <c:pt idx="410">
                  <c:v>83.715942921408811</c:v>
                </c:pt>
                <c:pt idx="411">
                  <c:v>83.682406894986613</c:v>
                </c:pt>
                <c:pt idx="412">
                  <c:v>83.648890243994202</c:v>
                </c:pt>
                <c:pt idx="413">
                  <c:v>83.615392768605105</c:v>
                </c:pt>
                <c:pt idx="414">
                  <c:v>83.581914273149991</c:v>
                </c:pt>
                <c:pt idx="415">
                  <c:v>83.548454566017909</c:v>
                </c:pt>
                <c:pt idx="416">
                  <c:v>83.515013459559896</c:v>
                </c:pt>
                <c:pt idx="417">
                  <c:v>83.481590769995819</c:v>
                </c:pt>
                <c:pt idx="418">
                  <c:v>83.44818631732339</c:v>
                </c:pt>
                <c:pt idx="419">
                  <c:v>83.4147999252299</c:v>
                </c:pt>
                <c:pt idx="420">
                  <c:v>83.381431421006354</c:v>
                </c:pt>
                <c:pt idx="421">
                  <c:v>83.3480806354641</c:v>
                </c:pt>
                <c:pt idx="422">
                  <c:v>83.314747402853499</c:v>
                </c:pt>
                <c:pt idx="423">
                  <c:v>83.281431560785165</c:v>
                </c:pt>
                <c:pt idx="424">
                  <c:v>83.248132950152979</c:v>
                </c:pt>
                <c:pt idx="425">
                  <c:v>83.214851415059442</c:v>
                </c:pt>
                <c:pt idx="426">
                  <c:v>83.181586802742956</c:v>
                </c:pt>
                <c:pt idx="427">
                  <c:v>83.148338963507186</c:v>
                </c:pt>
                <c:pt idx="428">
                  <c:v>83.115107750651944</c:v>
                </c:pt>
                <c:pt idx="429">
                  <c:v>83.081893020406469</c:v>
                </c:pt>
                <c:pt idx="430">
                  <c:v>83.048694631863953</c:v>
                </c:pt>
                <c:pt idx="431">
                  <c:v>83.015512446918009</c:v>
                </c:pt>
                <c:pt idx="432">
                  <c:v>82.98234633020104</c:v>
                </c:pt>
                <c:pt idx="433">
                  <c:v>82.949196149023791</c:v>
                </c:pt>
                <c:pt idx="434">
                  <c:v>82.916061773316784</c:v>
                </c:pt>
                <c:pt idx="435">
                  <c:v>82.882943075573138</c:v>
                </c:pt>
                <c:pt idx="436">
                  <c:v>82.849839930792797</c:v>
                </c:pt>
                <c:pt idx="437">
                  <c:v>82.816752216428583</c:v>
                </c:pt>
                <c:pt idx="438">
                  <c:v>82.783679812332949</c:v>
                </c:pt>
                <c:pt idx="439">
                  <c:v>82.750622600706762</c:v>
                </c:pt>
                <c:pt idx="440">
                  <c:v>82.717580466049142</c:v>
                </c:pt>
                <c:pt idx="441">
                  <c:v>82.684553295108259</c:v>
                </c:pt>
                <c:pt idx="442">
                  <c:v>82.651540976833971</c:v>
                </c:pt>
                <c:pt idx="443">
                  <c:v>82.618543402330999</c:v>
                </c:pt>
                <c:pt idx="444">
                  <c:v>82.585560464813852</c:v>
                </c:pt>
                <c:pt idx="445">
                  <c:v>82.552592059562542</c:v>
                </c:pt>
                <c:pt idx="446">
                  <c:v>82.519638083879386</c:v>
                </c:pt>
                <c:pt idx="447">
                  <c:v>82.486698437047096</c:v>
                </c:pt>
                <c:pt idx="448">
                  <c:v>82.453773020287542</c:v>
                </c:pt>
                <c:pt idx="449">
                  <c:v>82.42086173672206</c:v>
                </c:pt>
                <c:pt idx="450">
                  <c:v>82.387964491332099</c:v>
                </c:pt>
                <c:pt idx="451">
                  <c:v>82.355081190921354</c:v>
                </c:pt>
                <c:pt idx="452">
                  <c:v>82.322211744078402</c:v>
                </c:pt>
                <c:pt idx="453">
                  <c:v>82.289356061140509</c:v>
                </c:pt>
                <c:pt idx="454">
                  <c:v>82.256514054158345</c:v>
                </c:pt>
                <c:pt idx="455">
                  <c:v>82.223685636861248</c:v>
                </c:pt>
                <c:pt idx="456">
                  <c:v>82.190870724623508</c:v>
                </c:pt>
                <c:pt idx="457">
                  <c:v>82.15806923443148</c:v>
                </c:pt>
                <c:pt idx="458">
                  <c:v>82.125281084851409</c:v>
                </c:pt>
                <c:pt idx="459">
                  <c:v>82.092506195997956</c:v>
                </c:pt>
                <c:pt idx="460">
                  <c:v>82.059744489503615</c:v>
                </c:pt>
                <c:pt idx="461">
                  <c:v>82.026995888488742</c:v>
                </c:pt>
                <c:pt idx="462">
                  <c:v>81.994260317532124</c:v>
                </c:pt>
                <c:pt idx="463">
                  <c:v>81.961537702642701</c:v>
                </c:pt>
                <c:pt idx="464">
                  <c:v>81.9288279712313</c:v>
                </c:pt>
                <c:pt idx="465">
                  <c:v>81.896131052083618</c:v>
                </c:pt>
                <c:pt idx="466">
                  <c:v>81.863446875333395</c:v>
                </c:pt>
                <c:pt idx="467">
                  <c:v>81.83077537243642</c:v>
                </c:pt>
                <c:pt idx="468">
                  <c:v>81.798116476145083</c:v>
                </c:pt>
                <c:pt idx="469">
                  <c:v>81.765470120483442</c:v>
                </c:pt>
                <c:pt idx="470">
                  <c:v>81.732836240722918</c:v>
                </c:pt>
                <c:pt idx="471">
                  <c:v>81.700214773358439</c:v>
                </c:pt>
                <c:pt idx="472">
                  <c:v>81.667605656085399</c:v>
                </c:pt>
                <c:pt idx="473">
                  <c:v>81.635008827776545</c:v>
                </c:pt>
                <c:pt idx="474">
                  <c:v>81.602424228460336</c:v>
                </c:pt>
                <c:pt idx="475">
                  <c:v>81.569851799298434</c:v>
                </c:pt>
                <c:pt idx="476">
                  <c:v>81.537291482565195</c:v>
                </c:pt>
                <c:pt idx="477">
                  <c:v>81.504743221626342</c:v>
                </c:pt>
                <c:pt idx="478">
                  <c:v>81.472206960918925</c:v>
                </c:pt>
                <c:pt idx="479">
                  <c:v>81.439682645931271</c:v>
                </c:pt>
                <c:pt idx="480">
                  <c:v>81.407170223183584</c:v>
                </c:pt>
                <c:pt idx="481">
                  <c:v>81.374669640208964</c:v>
                </c:pt>
                <c:pt idx="482">
                  <c:v>81.342180845534557</c:v>
                </c:pt>
                <c:pt idx="483">
                  <c:v>81.309703788663541</c:v>
                </c:pt>
                <c:pt idx="484">
                  <c:v>81.277238420057245</c:v>
                </c:pt>
                <c:pt idx="485">
                  <c:v>81.244784691117559</c:v>
                </c:pt>
                <c:pt idx="486">
                  <c:v>81.212342554169993</c:v>
                </c:pt>
                <c:pt idx="487">
                  <c:v>81.17991196244688</c:v>
                </c:pt>
                <c:pt idx="488">
                  <c:v>81.147492870070963</c:v>
                </c:pt>
                <c:pt idx="489">
                  <c:v>81.115085232039391</c:v>
                </c:pt>
                <c:pt idx="490">
                  <c:v>81.082689004208078</c:v>
                </c:pt>
                <c:pt idx="491">
                  <c:v>81.050304143276222</c:v>
                </c:pt>
                <c:pt idx="492">
                  <c:v>81.017930606771301</c:v>
                </c:pt>
                <c:pt idx="493">
                  <c:v>80.985568353034495</c:v>
                </c:pt>
                <c:pt idx="494">
                  <c:v>80.953217341205857</c:v>
                </c:pt>
                <c:pt idx="495">
                  <c:v>80.920877531210564</c:v>
                </c:pt>
                <c:pt idx="496">
                  <c:v>80.888548883744903</c:v>
                </c:pt>
                <c:pt idx="497">
                  <c:v>80.856231360262754</c:v>
                </c:pt>
                <c:pt idx="498">
                  <c:v>80.823924922962121</c:v>
                </c:pt>
                <c:pt idx="499">
                  <c:v>80.791629534772426</c:v>
                </c:pt>
                <c:pt idx="500">
                  <c:v>80.759345159341478</c:v>
                </c:pt>
                <c:pt idx="501">
                  <c:v>80.727071761023097</c:v>
                </c:pt>
                <c:pt idx="502">
                  <c:v>80.69480930486489</c:v>
                </c:pt>
                <c:pt idx="503">
                  <c:v>80.662557756596144</c:v>
                </c:pt>
                <c:pt idx="504">
                  <c:v>80.630317082616131</c:v>
                </c:pt>
                <c:pt idx="505">
                  <c:v>80.598087249982584</c:v>
                </c:pt>
                <c:pt idx="506">
                  <c:v>80.565868226400355</c:v>
                </c:pt>
                <c:pt idx="507">
                  <c:v>80.533659980210359</c:v>
                </c:pt>
                <c:pt idx="508">
                  <c:v>80.501462480378748</c:v>
                </c:pt>
                <c:pt idx="509">
                  <c:v>80.469275696486164</c:v>
                </c:pt>
                <c:pt idx="510">
                  <c:v>80.437099598717381</c:v>
                </c:pt>
                <c:pt idx="511">
                  <c:v>80.404934157851031</c:v>
                </c:pt>
                <c:pt idx="512">
                  <c:v>80.372779345249626</c:v>
                </c:pt>
                <c:pt idx="513">
                  <c:v>80.340635132849627</c:v>
                </c:pt>
                <c:pt idx="514">
                  <c:v>80.30850149315188</c:v>
                </c:pt>
                <c:pt idx="515">
                  <c:v>80.276378399212035</c:v>
                </c:pt>
                <c:pt idx="516">
                  <c:v>80.244265824631341</c:v>
                </c:pt>
                <c:pt idx="517">
                  <c:v>80.212163743547563</c:v>
                </c:pt>
                <c:pt idx="518">
                  <c:v>80.180072130625945</c:v>
                </c:pt>
                <c:pt idx="519">
                  <c:v>80.14799096105051</c:v>
                </c:pt>
                <c:pt idx="520">
                  <c:v>80.115920210515526</c:v>
                </c:pt>
                <c:pt idx="521">
                  <c:v>80.083859855216872</c:v>
                </c:pt>
                <c:pt idx="522">
                  <c:v>80.051809871843986</c:v>
                </c:pt>
                <c:pt idx="523">
                  <c:v>80.019770237571564</c:v>
                </c:pt>
                <c:pt idx="524">
                  <c:v>79.9877409300517</c:v>
                </c:pt>
                <c:pt idx="525">
                  <c:v>79.955721927405961</c:v>
                </c:pt>
                <c:pt idx="526">
                  <c:v>79.923713208217862</c:v>
                </c:pt>
                <c:pt idx="527">
                  <c:v>79.8917147515251</c:v>
                </c:pt>
                <c:pt idx="528">
                  <c:v>79.859726536812374</c:v>
                </c:pt>
                <c:pt idx="529">
                  <c:v>79.827748544004038</c:v>
                </c:pt>
                <c:pt idx="530">
                  <c:v>79.795780753456953</c:v>
                </c:pt>
                <c:pt idx="531">
                  <c:v>79.763823145953523</c:v>
                </c:pt>
                <c:pt idx="532">
                  <c:v>79.731875702694722</c:v>
                </c:pt>
                <c:pt idx="533">
                  <c:v>79.699938405293551</c:v>
                </c:pt>
                <c:pt idx="534">
                  <c:v>79.668011235768248</c:v>
                </c:pt>
                <c:pt idx="535">
                  <c:v>79.636094176535792</c:v>
                </c:pt>
                <c:pt idx="536">
                  <c:v>79.604187210405584</c:v>
                </c:pt>
                <c:pt idx="537">
                  <c:v>79.57229032057316</c:v>
                </c:pt>
                <c:pt idx="538">
                  <c:v>79.540403490614054</c:v>
                </c:pt>
                <c:pt idx="539">
                  <c:v>79.508526704477504</c:v>
                </c:pt>
                <c:pt idx="540">
                  <c:v>79.476659946481021</c:v>
                </c:pt>
                <c:pt idx="541">
                  <c:v>79.444803201303941</c:v>
                </c:pt>
                <c:pt idx="542">
                  <c:v>79.412956453982233</c:v>
                </c:pt>
                <c:pt idx="543">
                  <c:v>79.381119689902405</c:v>
                </c:pt>
                <c:pt idx="544">
                  <c:v>79.349292894796349</c:v>
                </c:pt>
                <c:pt idx="545">
                  <c:v>79.31747605473565</c:v>
                </c:pt>
                <c:pt idx="546">
                  <c:v>79.28566915612636</c:v>
                </c:pt>
                <c:pt idx="547">
                  <c:v>79.25387218570377</c:v>
                </c:pt>
                <c:pt idx="548">
                  <c:v>79.222085130527063</c:v>
                </c:pt>
                <c:pt idx="549">
                  <c:v>79.190307977974498</c:v>
                </c:pt>
                <c:pt idx="550">
                  <c:v>79.158540715738312</c:v>
                </c:pt>
                <c:pt idx="551">
                  <c:v>79.126783331819709</c:v>
                </c:pt>
                <c:pt idx="552">
                  <c:v>79.095035814524266</c:v>
                </c:pt>
                <c:pt idx="553">
                  <c:v>79.063298152457037</c:v>
                </c:pt>
                <c:pt idx="554">
                  <c:v>79.031570334517966</c:v>
                </c:pt>
                <c:pt idx="555">
                  <c:v>78.999852349897395</c:v>
                </c:pt>
                <c:pt idx="556">
                  <c:v>78.968144188071335</c:v>
                </c:pt>
                <c:pt idx="557">
                  <c:v>78.93644583879734</c:v>
                </c:pt>
                <c:pt idx="558">
                  <c:v>78.904757292109934</c:v>
                </c:pt>
                <c:pt idx="559">
                  <c:v>78.873078538316463</c:v>
                </c:pt>
                <c:pt idx="560">
                  <c:v>78.841409567992812</c:v>
                </c:pt>
                <c:pt idx="561">
                  <c:v>78.809750371979433</c:v>
                </c:pt>
                <c:pt idx="562">
                  <c:v>78.77810094137709</c:v>
                </c:pt>
                <c:pt idx="563">
                  <c:v>78.746461267542998</c:v>
                </c:pt>
                <c:pt idx="564">
                  <c:v>78.714831342086839</c:v>
                </c:pt>
                <c:pt idx="565">
                  <c:v>78.683211156866932</c:v>
                </c:pt>
                <c:pt idx="566">
                  <c:v>78.651600703986375</c:v>
                </c:pt>
                <c:pt idx="567">
                  <c:v>78.619999975789426</c:v>
                </c:pt>
                <c:pt idx="568">
                  <c:v>78.58840896485772</c:v>
                </c:pt>
                <c:pt idx="569">
                  <c:v>78.556827664006676</c:v>
                </c:pt>
                <c:pt idx="570">
                  <c:v>78.525256066281983</c:v>
                </c:pt>
                <c:pt idx="571">
                  <c:v>78.493694164956054</c:v>
                </c:pt>
                <c:pt idx="572">
                  <c:v>78.46214195352465</c:v>
                </c:pt>
                <c:pt idx="573">
                  <c:v>78.430599425703406</c:v>
                </c:pt>
                <c:pt idx="574">
                  <c:v>78.399066575424627</c:v>
                </c:pt>
                <c:pt idx="575">
                  <c:v>78.367543396833767</c:v>
                </c:pt>
                <c:pt idx="576">
                  <c:v>78.336029884286589</c:v>
                </c:pt>
                <c:pt idx="577">
                  <c:v>78.304526032345592</c:v>
                </c:pt>
                <c:pt idx="578">
                  <c:v>78.273031835777175</c:v>
                </c:pt>
                <c:pt idx="579">
                  <c:v>78.241547289548379</c:v>
                </c:pt>
                <c:pt idx="580">
                  <c:v>78.210072388823988</c:v>
                </c:pt>
                <c:pt idx="581">
                  <c:v>78.178607128963492</c:v>
                </c:pt>
                <c:pt idx="582">
                  <c:v>78.147151505518124</c:v>
                </c:pt>
                <c:pt idx="583">
                  <c:v>78.115705514228125</c:v>
                </c:pt>
                <c:pt idx="584">
                  <c:v>78.08426915101974</c:v>
                </c:pt>
                <c:pt idx="585">
                  <c:v>78.052842412002491</c:v>
                </c:pt>
                <c:pt idx="586">
                  <c:v>78.021425293466365</c:v>
                </c:pt>
                <c:pt idx="587">
                  <c:v>77.990017791879268</c:v>
                </c:pt>
                <c:pt idx="588">
                  <c:v>77.95861990388417</c:v>
                </c:pt>
                <c:pt idx="589">
                  <c:v>77.927231626296589</c:v>
                </c:pt>
                <c:pt idx="590">
                  <c:v>77.895852956102047</c:v>
                </c:pt>
                <c:pt idx="591">
                  <c:v>77.864483890453371</c:v>
                </c:pt>
                <c:pt idx="592">
                  <c:v>77.833124426668277</c:v>
                </c:pt>
                <c:pt idx="593">
                  <c:v>77.801774562226953</c:v>
                </c:pt>
                <c:pt idx="594">
                  <c:v>77.770434294769572</c:v>
                </c:pt>
                <c:pt idx="595">
                  <c:v>77.739103622093921</c:v>
                </c:pt>
                <c:pt idx="596">
                  <c:v>77.707782542152941</c:v>
                </c:pt>
                <c:pt idx="597">
                  <c:v>77.676471053052623</c:v>
                </c:pt>
                <c:pt idx="598">
                  <c:v>77.645169153049537</c:v>
                </c:pt>
                <c:pt idx="599">
                  <c:v>77.613876840548571</c:v>
                </c:pt>
                <c:pt idx="600">
                  <c:v>77.582594114100957</c:v>
                </c:pt>
                <c:pt idx="601">
                  <c:v>77.551320972401712</c:v>
                </c:pt>
                <c:pt idx="602">
                  <c:v>77.52005741428782</c:v>
                </c:pt>
                <c:pt idx="603">
                  <c:v>77.488803438736014</c:v>
                </c:pt>
                <c:pt idx="604">
                  <c:v>77.45755904486056</c:v>
                </c:pt>
                <c:pt idx="605">
                  <c:v>77.426324231911295</c:v>
                </c:pt>
                <c:pt idx="606">
                  <c:v>75.876816670199759</c:v>
                </c:pt>
                <c:pt idx="607">
                  <c:v>74.351547464751476</c:v>
                </c:pt>
                <c:pt idx="608">
                  <c:v>72.851149842392559</c:v>
                </c:pt>
                <c:pt idx="609">
                  <c:v>71.37642668539668</c:v>
                </c:pt>
                <c:pt idx="610">
                  <c:v>69.928218386797695</c:v>
                </c:pt>
                <c:pt idx="611">
                  <c:v>68.507328753587345</c:v>
                </c:pt>
                <c:pt idx="612">
                  <c:v>67.114482843502799</c:v>
                </c:pt>
                <c:pt idx="613">
                  <c:v>65.750303510463596</c:v>
                </c:pt>
                <c:pt idx="614">
                  <c:v>64.415299498988247</c:v>
                </c:pt>
                <c:pt idx="615">
                  <c:v>63.109860964917317</c:v>
                </c:pt>
                <c:pt idx="616">
                  <c:v>61.834259906936353</c:v>
                </c:pt>
                <c:pt idx="617">
                  <c:v>60.588653889222542</c:v>
                </c:pt>
                <c:pt idx="618">
                  <c:v>60.098824565044112</c:v>
                </c:pt>
                <c:pt idx="619">
                  <c:v>59.613801928845447</c:v>
                </c:pt>
                <c:pt idx="620">
                  <c:v>59.133581969823084</c:v>
                </c:pt>
                <c:pt idx="621">
                  <c:v>58.658158252503526</c:v>
                </c:pt>
                <c:pt idx="622">
                  <c:v>58.187522004309983</c:v>
                </c:pt>
                <c:pt idx="623">
                  <c:v>57.721662204636644</c:v>
                </c:pt>
                <c:pt idx="624">
                  <c:v>57.260565674919832</c:v>
                </c:pt>
                <c:pt idx="625">
                  <c:v>56.804217169252226</c:v>
                </c:pt>
                <c:pt idx="626">
                  <c:v>56.352599465134901</c:v>
                </c:pt>
                <c:pt idx="627">
                  <c:v>55.905693454007604</c:v>
                </c:pt>
                <c:pt idx="628">
                  <c:v>55.46347823123655</c:v>
                </c:pt>
                <c:pt idx="629">
                  <c:v>55.025931185277713</c:v>
                </c:pt>
                <c:pt idx="630">
                  <c:v>54.593028085765226</c:v>
                </c:pt>
                <c:pt idx="631">
                  <c:v>54.16474317030567</c:v>
                </c:pt>
                <c:pt idx="632">
                  <c:v>53.741049229786711</c:v>
                </c:pt>
                <c:pt idx="633">
                  <c:v>53.321917692033935</c:v>
                </c:pt>
                <c:pt idx="634">
                  <c:v>52.907318703672743</c:v>
                </c:pt>
                <c:pt idx="635">
                  <c:v>52.49722121007315</c:v>
                </c:pt>
                <c:pt idx="636">
                  <c:v>52.091593033275714</c:v>
                </c:pt>
                <c:pt idx="637">
                  <c:v>51.690400947812975</c:v>
                </c:pt>
                <c:pt idx="638">
                  <c:v>51.29361075435844</c:v>
                </c:pt>
                <c:pt idx="639">
                  <c:v>50.901187351149161</c:v>
                </c:pt>
                <c:pt idx="640">
                  <c:v>50.513094803141172</c:v>
                </c:pt>
                <c:pt idx="641">
                  <c:v>50.129296408869862</c:v>
                </c:pt>
                <c:pt idx="642">
                  <c:v>49.749754764997761</c:v>
                </c:pt>
                <c:pt idx="643">
                  <c:v>49.374431828542924</c:v>
                </c:pt>
                <c:pt idx="644">
                  <c:v>49.003288976789037</c:v>
                </c:pt>
                <c:pt idx="645">
                  <c:v>48.636287064887483</c:v>
                </c:pt>
                <c:pt idx="646">
                  <c:v>48.273386481168643</c:v>
                </c:pt>
                <c:pt idx="647">
                  <c:v>47.914547200184813</c:v>
                </c:pt>
                <c:pt idx="648">
                  <c:v>47.559728833514754</c:v>
                </c:pt>
                <c:pt idx="649">
                  <c:v>47.208890678363957</c:v>
                </c:pt>
                <c:pt idx="650">
                  <c:v>46.861991763998162</c:v>
                </c:pt>
                <c:pt idx="651">
                  <c:v>46.518990896053396</c:v>
                </c:pt>
                <c:pt idx="652">
                  <c:v>46.179846698767278</c:v>
                </c:pt>
                <c:pt idx="653">
                  <c:v>45.844517655180056</c:v>
                </c:pt>
                <c:pt idx="654">
                  <c:v>45.512962145355573</c:v>
                </c:pt>
                <c:pt idx="655">
                  <c:v>45.185138482675058</c:v>
                </c:pt>
                <c:pt idx="656">
                  <c:v>44.861004948256749</c:v>
                </c:pt>
                <c:pt idx="657">
                  <c:v>44.540519823557133</c:v>
                </c:pt>
                <c:pt idx="658">
                  <c:v>44.223641421208669</c:v>
                </c:pt>
                <c:pt idx="659">
                  <c:v>43.910328114151383</c:v>
                </c:pt>
                <c:pt idx="660">
                  <c:v>43.600538363113913</c:v>
                </c:pt>
                <c:pt idx="661">
                  <c:v>43.29423074250127</c:v>
                </c:pt>
                <c:pt idx="662">
                  <c:v>42.991363964745346</c:v>
                </c:pt>
                <c:pt idx="663">
                  <c:v>42.691896903174978</c:v>
                </c:pt>
                <c:pt idx="664">
                  <c:v>42.395788613460098</c:v>
                </c:pt>
                <c:pt idx="665">
                  <c:v>42.102998353686104</c:v>
                </c:pt>
                <c:pt idx="666">
                  <c:v>41.813485603111587</c:v>
                </c:pt>
                <c:pt idx="667">
                  <c:v>41.527210079663462</c:v>
                </c:pt>
              </c:numCache>
            </c:numRef>
          </c:yVal>
          <c:smooth val="0"/>
          <c:extLst>
            <c:ext xmlns:c16="http://schemas.microsoft.com/office/drawing/2014/chart" uri="{C3380CC4-5D6E-409C-BE32-E72D297353CC}">
              <c16:uniqueId val="{00000002-D6EE-4DCC-8A11-B110CFB8CEB8}"/>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168.53938913586262</c:v>
                </c:pt>
                <c:pt idx="1">
                  <c:v>157.9354354366923</c:v>
                </c:pt>
                <c:pt idx="2">
                  <c:v>148.71426921611641</c:v>
                </c:pt>
                <c:pt idx="3">
                  <c:v>141.00655665988475</c:v>
                </c:pt>
                <c:pt idx="4">
                  <c:v>134.68709790077119</c:v>
                </c:pt>
                <c:pt idx="5">
                  <c:v>129.53241368003418</c:v>
                </c:pt>
                <c:pt idx="6">
                  <c:v>125.31406835867142</c:v>
                </c:pt>
                <c:pt idx="7">
                  <c:v>121.83557792420223</c:v>
                </c:pt>
                <c:pt idx="8">
                  <c:v>118.93977013063181</c:v>
                </c:pt>
                <c:pt idx="9">
                  <c:v>116.50474095799579</c:v>
                </c:pt>
                <c:pt idx="10">
                  <c:v>104.44401570949081</c:v>
                </c:pt>
                <c:pt idx="11">
                  <c:v>100.25194281700439</c:v>
                </c:pt>
                <c:pt idx="12">
                  <c:v>98.264587726230928</c:v>
                </c:pt>
                <c:pt idx="13">
                  <c:v>97.186007817617892</c:v>
                </c:pt>
                <c:pt idx="14">
                  <c:v>96.567497385432844</c:v>
                </c:pt>
                <c:pt idx="15">
                  <c:v>96.213528403050105</c:v>
                </c:pt>
                <c:pt idx="16">
                  <c:v>96.025457039049556</c:v>
                </c:pt>
                <c:pt idx="17">
                  <c:v>95.948179121965111</c:v>
                </c:pt>
                <c:pt idx="18">
                  <c:v>95.948508691848545</c:v>
                </c:pt>
                <c:pt idx="19">
                  <c:v>97.651559746971316</c:v>
                </c:pt>
                <c:pt idx="20">
                  <c:v>100.24717860400578</c:v>
                </c:pt>
                <c:pt idx="21">
                  <c:v>103.00935247374565</c:v>
                </c:pt>
                <c:pt idx="22">
                  <c:v>105.77339948841286</c:v>
                </c:pt>
                <c:pt idx="23">
                  <c:v>108.46723926153201</c:v>
                </c:pt>
                <c:pt idx="24">
                  <c:v>111.04375729246156</c:v>
                </c:pt>
                <c:pt idx="25">
                  <c:v>113.4631844511524</c:v>
                </c:pt>
                <c:pt idx="26">
                  <c:v>115.68632098846894</c:v>
                </c:pt>
                <c:pt idx="27">
                  <c:v>117.67065991499376</c:v>
                </c:pt>
                <c:pt idx="28">
                  <c:v>121.82733462600429</c:v>
                </c:pt>
                <c:pt idx="29">
                  <c:v>104.02249931320951</c:v>
                </c:pt>
                <c:pt idx="30">
                  <c:v>59.7267292323871</c:v>
                </c:pt>
                <c:pt idx="31">
                  <c:v>42.008492014173385</c:v>
                </c:pt>
                <c:pt idx="32">
                  <c:v>39.967182359856395</c:v>
                </c:pt>
                <c:pt idx="33">
                  <c:v>42.117911935936348</c:v>
                </c:pt>
                <c:pt idx="34">
                  <c:v>45.408149493336936</c:v>
                </c:pt>
                <c:pt idx="35">
                  <c:v>48.90386693276821</c:v>
                </c:pt>
                <c:pt idx="36">
                  <c:v>52.283352249234127</c:v>
                </c:pt>
                <c:pt idx="37">
                  <c:v>55.436252869872888</c:v>
                </c:pt>
                <c:pt idx="38">
                  <c:v>58.3333411279351</c:v>
                </c:pt>
                <c:pt idx="39">
                  <c:v>60.977867084087777</c:v>
                </c:pt>
                <c:pt idx="40">
                  <c:v>63.385689306746514</c:v>
                </c:pt>
                <c:pt idx="41">
                  <c:v>65.576746290672986</c:v>
                </c:pt>
                <c:pt idx="42">
                  <c:v>67.571350565188865</c:v>
                </c:pt>
                <c:pt idx="43">
                  <c:v>69.388637130232055</c:v>
                </c:pt>
                <c:pt idx="44">
                  <c:v>71.04599906814218</c:v>
                </c:pt>
                <c:pt idx="45">
                  <c:v>72.558975380611386</c:v>
                </c:pt>
                <c:pt idx="46">
                  <c:v>73.941338378515795</c:v>
                </c:pt>
                <c:pt idx="47">
                  <c:v>75.205259640279749</c:v>
                </c:pt>
                <c:pt idx="48">
                  <c:v>76.361496949327829</c:v>
                </c:pt>
                <c:pt idx="49">
                  <c:v>77.419575748987398</c:v>
                </c:pt>
                <c:pt idx="50">
                  <c:v>78.387954050365408</c:v>
                </c:pt>
                <c:pt idx="51">
                  <c:v>79.274167282214691</c:v>
                </c:pt>
                <c:pt idx="52">
                  <c:v>80.084953160071819</c:v>
                </c:pt>
                <c:pt idx="53">
                  <c:v>80.826358227866763</c:v>
                </c:pt>
                <c:pt idx="54">
                  <c:v>81.503828288955773</c:v>
                </c:pt>
                <c:pt idx="55">
                  <c:v>82.12228501255062</c:v>
                </c:pt>
                <c:pt idx="56">
                  <c:v>82.686190844018043</c:v>
                </c:pt>
                <c:pt idx="57">
                  <c:v>83.199604101317846</c:v>
                </c:pt>
                <c:pt idx="58">
                  <c:v>83.666225874001228</c:v>
                </c:pt>
                <c:pt idx="59">
                  <c:v>84.089440088474049</c:v>
                </c:pt>
                <c:pt idx="60">
                  <c:v>84.472347877432853</c:v>
                </c:pt>
                <c:pt idx="61">
                  <c:v>84.817797196552846</c:v>
                </c:pt>
                <c:pt idx="62">
                  <c:v>85.128408466935255</c:v>
                </c:pt>
                <c:pt idx="63">
                  <c:v>85.406596884678038</c:v>
                </c:pt>
                <c:pt idx="64">
                  <c:v>85.654591925635799</c:v>
                </c:pt>
                <c:pt idx="65">
                  <c:v>85.874454480368726</c:v>
                </c:pt>
                <c:pt idx="66">
                  <c:v>86.068091978095111</c:v>
                </c:pt>
                <c:pt idx="67">
                  <c:v>86.237271796222217</c:v>
                </c:pt>
                <c:pt idx="68">
                  <c:v>86.383633201225322</c:v>
                </c:pt>
                <c:pt idx="69">
                  <c:v>86.508698025171881</c:v>
                </c:pt>
                <c:pt idx="70">
                  <c:v>86.613880248312483</c:v>
                </c:pt>
                <c:pt idx="71">
                  <c:v>86.700494630449271</c:v>
                </c:pt>
                <c:pt idx="72">
                  <c:v>86.769764511090756</c:v>
                </c:pt>
                <c:pt idx="73">
                  <c:v>86.822828879757381</c:v>
                </c:pt>
                <c:pt idx="74">
                  <c:v>86.860748802453969</c:v>
                </c:pt>
                <c:pt idx="75">
                  <c:v>86.88451327765118</c:v>
                </c:pt>
                <c:pt idx="76">
                  <c:v>86.895044584619143</c:v>
                </c:pt>
                <c:pt idx="77">
                  <c:v>86.893203178229328</c:v>
                </c:pt>
                <c:pt idx="78">
                  <c:v>86.879792177054966</c:v>
                </c:pt>
                <c:pt idx="79">
                  <c:v>86.855561485499621</c:v>
                </c:pt>
                <c:pt idx="80">
                  <c:v>86.82121158554385</c:v>
                </c:pt>
                <c:pt idx="81">
                  <c:v>86.777397029360529</c:v>
                </c:pt>
                <c:pt idx="82">
                  <c:v>86.724729660360822</c:v>
                </c:pt>
                <c:pt idx="83">
                  <c:v>86.663781587085666</c:v>
                </c:pt>
                <c:pt idx="84">
                  <c:v>86.595087931659549</c:v>
                </c:pt>
                <c:pt idx="85">
                  <c:v>86.519149372199294</c:v>
                </c:pt>
                <c:pt idx="86">
                  <c:v>86.436434496556316</c:v>
                </c:pt>
                <c:pt idx="87">
                  <c:v>86.347381983019503</c:v>
                </c:pt>
                <c:pt idx="88">
                  <c:v>86.252402622075962</c:v>
                </c:pt>
                <c:pt idx="89">
                  <c:v>86.15188119198092</c:v>
                </c:pt>
                <c:pt idx="90">
                  <c:v>86.046178199703775</c:v>
                </c:pt>
                <c:pt idx="91">
                  <c:v>85.935631497765129</c:v>
                </c:pt>
                <c:pt idx="92">
                  <c:v>85.820557786547965</c:v>
                </c:pt>
                <c:pt idx="93">
                  <c:v>85.701254010829601</c:v>
                </c:pt>
                <c:pt idx="94">
                  <c:v>85.577998658536856</c:v>
                </c:pt>
                <c:pt idx="95">
                  <c:v>85.451052969052682</c:v>
                </c:pt>
                <c:pt idx="96">
                  <c:v>85.320662057800277</c:v>
                </c:pt>
                <c:pt idx="97">
                  <c:v>85.187055963280812</c:v>
                </c:pt>
                <c:pt idx="98">
                  <c:v>85.050450622247055</c:v>
                </c:pt>
                <c:pt idx="99">
                  <c:v>84.911048778243284</c:v>
                </c:pt>
                <c:pt idx="100">
                  <c:v>84.769040828332848</c:v>
                </c:pt>
                <c:pt idx="101">
                  <c:v>84.624605612459433</c:v>
                </c:pt>
                <c:pt idx="102">
                  <c:v>84.477911149547268</c:v>
                </c:pt>
                <c:pt idx="103">
                  <c:v>84.329115324131919</c:v>
                </c:pt>
                <c:pt idx="104">
                  <c:v>84.178366527026796</c:v>
                </c:pt>
                <c:pt idx="105">
                  <c:v>84.025804253267353</c:v>
                </c:pt>
                <c:pt idx="106">
                  <c:v>83.871559660333133</c:v>
                </c:pt>
                <c:pt idx="107">
                  <c:v>83.715756089425227</c:v>
                </c:pt>
                <c:pt idx="108">
                  <c:v>83.558509552372669</c:v>
                </c:pt>
                <c:pt idx="109">
                  <c:v>83.399929186551418</c:v>
                </c:pt>
                <c:pt idx="110">
                  <c:v>83.240117680027382</c:v>
                </c:pt>
                <c:pt idx="111">
                  <c:v>83.079171668972918</c:v>
                </c:pt>
                <c:pt idx="112">
                  <c:v>82.917182109258405</c:v>
                </c:pt>
                <c:pt idx="113">
                  <c:v>82.75423462398534</c:v>
                </c:pt>
                <c:pt idx="114">
                  <c:v>82.5904098285976</c:v>
                </c:pt>
                <c:pt idx="115">
                  <c:v>82.425783635094149</c:v>
                </c:pt>
                <c:pt idx="116">
                  <c:v>82.260427536755103</c:v>
                </c:pt>
                <c:pt idx="117">
                  <c:v>82.094408874695873</c:v>
                </c:pt>
                <c:pt idx="118">
                  <c:v>81.927791087468179</c:v>
                </c:pt>
                <c:pt idx="119">
                  <c:v>81.760633944844088</c:v>
                </c:pt>
                <c:pt idx="120">
                  <c:v>81.592993766837054</c:v>
                </c:pt>
                <c:pt idx="121">
                  <c:v>81.424923628941826</c:v>
                </c:pt>
                <c:pt idx="122">
                  <c:v>81.256473554505732</c:v>
                </c:pt>
                <c:pt idx="123">
                  <c:v>81.087690695081506</c:v>
                </c:pt>
                <c:pt idx="124">
                  <c:v>80.918619499551696</c:v>
                </c:pt>
                <c:pt idx="125">
                  <c:v>80.749301872761279</c:v>
                </c:pt>
                <c:pt idx="126">
                  <c:v>80.579777324344192</c:v>
                </c:pt>
                <c:pt idx="127">
                  <c:v>80.410083108381983</c:v>
                </c:pt>
                <c:pt idx="128">
                  <c:v>80.240254354489664</c:v>
                </c:pt>
                <c:pt idx="129">
                  <c:v>80.070324190883355</c:v>
                </c:pt>
                <c:pt idx="130">
                  <c:v>79.900323859946511</c:v>
                </c:pt>
                <c:pt idx="131">
                  <c:v>79.730282826776303</c:v>
                </c:pt>
                <c:pt idx="132">
                  <c:v>79.560228881159603</c:v>
                </c:pt>
                <c:pt idx="133">
                  <c:v>79.390188233397907</c:v>
                </c:pt>
                <c:pt idx="134">
                  <c:v>79.220185604371778</c:v>
                </c:pt>
                <c:pt idx="135">
                  <c:v>79.050244310210132</c:v>
                </c:pt>
                <c:pt idx="136">
                  <c:v>78.880386341904554</c:v>
                </c:pt>
                <c:pt idx="137">
                  <c:v>78.71063244018714</c:v>
                </c:pt>
                <c:pt idx="138">
                  <c:v>78.541002165968266</c:v>
                </c:pt>
                <c:pt idx="139">
                  <c:v>78.371513966612042</c:v>
                </c:pt>
                <c:pt idx="140">
                  <c:v>78.202185238308445</c:v>
                </c:pt>
                <c:pt idx="141">
                  <c:v>78.03303238478432</c:v>
                </c:pt>
                <c:pt idx="142">
                  <c:v>77.864070872579674</c:v>
                </c:pt>
                <c:pt idx="143">
                  <c:v>77.695315283100754</c:v>
                </c:pt>
                <c:pt idx="144">
                  <c:v>77.526779361647826</c:v>
                </c:pt>
                <c:pt idx="145">
                  <c:v>77.35847606360295</c:v>
                </c:pt>
                <c:pt idx="146">
                  <c:v>77.190417597950869</c:v>
                </c:pt>
                <c:pt idx="147">
                  <c:v>77.022615468294674</c:v>
                </c:pt>
                <c:pt idx="148">
                  <c:v>76.855080511518779</c:v>
                </c:pt>
                <c:pt idx="149">
                  <c:v>76.687822934240231</c:v>
                </c:pt>
                <c:pt idx="150">
                  <c:v>76.520852347182299</c:v>
                </c:pt>
                <c:pt idx="151">
                  <c:v>76.354177797594119</c:v>
                </c:pt>
                <c:pt idx="152">
                  <c:v>76.187807799833621</c:v>
                </c:pt>
                <c:pt idx="153">
                  <c:v>76.021750364222896</c:v>
                </c:pt>
                <c:pt idx="154">
                  <c:v>75.856013024278553</c:v>
                </c:pt>
                <c:pt idx="155">
                  <c:v>75.690602862413073</c:v>
                </c:pt>
                <c:pt idx="156">
                  <c:v>75.525526534197553</c:v>
                </c:pt>
                <c:pt idx="157">
                  <c:v>75.360790291269865</c:v>
                </c:pt>
                <c:pt idx="158">
                  <c:v>75.196400002968105</c:v>
                </c:pt>
                <c:pt idx="159">
                  <c:v>75.032361176763402</c:v>
                </c:pt>
                <c:pt idx="160">
                  <c:v>74.868678977561871</c:v>
                </c:pt>
                <c:pt idx="161">
                  <c:v>74.70535824594144</c:v>
                </c:pt>
                <c:pt idx="162">
                  <c:v>74.542403515385203</c:v>
                </c:pt>
                <c:pt idx="163">
                  <c:v>74.379819028568718</c:v>
                </c:pt>
                <c:pt idx="164">
                  <c:v>74.217608752755979</c:v>
                </c:pt>
                <c:pt idx="165">
                  <c:v>74.055776394354879</c:v>
                </c:pt>
                <c:pt idx="166">
                  <c:v>73.894325412680232</c:v>
                </c:pt>
                <c:pt idx="167">
                  <c:v>73.733259032969258</c:v>
                </c:pt>
                <c:pt idx="168">
                  <c:v>73.572580258692085</c:v>
                </c:pt>
                <c:pt idx="169">
                  <c:v>73.412291883197227</c:v>
                </c:pt>
                <c:pt idx="170">
                  <c:v>73.252396500729006</c:v>
                </c:pt>
                <c:pt idx="171">
                  <c:v>73.092896516853131</c:v>
                </c:pt>
                <c:pt idx="172">
                  <c:v>72.933794158322399</c:v>
                </c:pt>
                <c:pt idx="173">
                  <c:v>72.775091482415021</c:v>
                </c:pt>
                <c:pt idx="174">
                  <c:v>72.616790385773911</c:v>
                </c:pt>
                <c:pt idx="175">
                  <c:v>72.458892612775486</c:v>
                </c:pt>
                <c:pt idx="176">
                  <c:v>72.30139976345329</c:v>
                </c:pt>
                <c:pt idx="177">
                  <c:v>72.144313301001645</c:v>
                </c:pt>
                <c:pt idx="178">
                  <c:v>71.987634558882121</c:v>
                </c:pt>
                <c:pt idx="179">
                  <c:v>71.831364747554602</c:v>
                </c:pt>
                <c:pt idx="180">
                  <c:v>71.675504960853942</c:v>
                </c:pt>
                <c:pt idx="181">
                  <c:v>71.520056182030586</c:v>
                </c:pt>
                <c:pt idx="182">
                  <c:v>71.365019289475072</c:v>
                </c:pt>
                <c:pt idx="183">
                  <c:v>71.210395062141643</c:v>
                </c:pt>
                <c:pt idx="184">
                  <c:v>71.056184184688959</c:v>
                </c:pt>
                <c:pt idx="185">
                  <c:v>70.90238725235217</c:v>
                </c:pt>
                <c:pt idx="186">
                  <c:v>70.749004775561204</c:v>
                </c:pt>
                <c:pt idx="187">
                  <c:v>70.596037184319101</c:v>
                </c:pt>
                <c:pt idx="188">
                  <c:v>70.443484832352596</c:v>
                </c:pt>
                <c:pt idx="189">
                  <c:v>70.291348001047993</c:v>
                </c:pt>
                <c:pt idx="190">
                  <c:v>70.139626903183128</c:v>
                </c:pt>
                <c:pt idx="191">
                  <c:v>69.98832168646679</c:v>
                </c:pt>
                <c:pt idx="192">
                  <c:v>69.837432436895298</c:v>
                </c:pt>
                <c:pt idx="193">
                  <c:v>69.686959181936302</c:v>
                </c:pt>
                <c:pt idx="194">
                  <c:v>69.536901893548958</c:v>
                </c:pt>
                <c:pt idx="195">
                  <c:v>69.387260491048849</c:v>
                </c:pt>
                <c:pt idx="196">
                  <c:v>69.238034843826256</c:v>
                </c:pt>
                <c:pt idx="197">
                  <c:v>69.089224773924784</c:v>
                </c:pt>
                <c:pt idx="198">
                  <c:v>68.940830058488544</c:v>
                </c:pt>
                <c:pt idx="199">
                  <c:v>68.79285043208408</c:v>
                </c:pt>
                <c:pt idx="200">
                  <c:v>68.64528558890396</c:v>
                </c:pt>
                <c:pt idx="201">
                  <c:v>68.498135184858072</c:v>
                </c:pt>
                <c:pt idx="202">
                  <c:v>68.351398839558271</c:v>
                </c:pt>
                <c:pt idx="203">
                  <c:v>68.205076138202557</c:v>
                </c:pt>
                <c:pt idx="204">
                  <c:v>68.059166633363191</c:v>
                </c:pt>
                <c:pt idx="205">
                  <c:v>67.913669846684172</c:v>
                </c:pt>
                <c:pt idx="206">
                  <c:v>67.768585270492864</c:v>
                </c:pt>
                <c:pt idx="207">
                  <c:v>67.623912369329901</c:v>
                </c:pt>
                <c:pt idx="208">
                  <c:v>67.479650581401586</c:v>
                </c:pt>
                <c:pt idx="209">
                  <c:v>67.33579931995915</c:v>
                </c:pt>
                <c:pt idx="210">
                  <c:v>67.192357974608086</c:v>
                </c:pt>
                <c:pt idx="211">
                  <c:v>67.049325912551851</c:v>
                </c:pt>
                <c:pt idx="212">
                  <c:v>66.906702479772207</c:v>
                </c:pt>
                <c:pt idx="213">
                  <c:v>66.764487002150886</c:v>
                </c:pt>
                <c:pt idx="214">
                  <c:v>66.622678786534166</c:v>
                </c:pt>
                <c:pt idx="215">
                  <c:v>66.481277121744242</c:v>
                </c:pt>
                <c:pt idx="216">
                  <c:v>66.340281279539681</c:v>
                </c:pt>
                <c:pt idx="217">
                  <c:v>66.199690515527607</c:v>
                </c:pt>
                <c:pt idx="218">
                  <c:v>66.059504070030158</c:v>
                </c:pt>
                <c:pt idx="219">
                  <c:v>65.919721168907444</c:v>
                </c:pt>
                <c:pt idx="220">
                  <c:v>65.780341024339236</c:v>
                </c:pt>
                <c:pt idx="221">
                  <c:v>65.641362835567534</c:v>
                </c:pt>
                <c:pt idx="222">
                  <c:v>65.502785789602015</c:v>
                </c:pt>
                <c:pt idx="223">
                  <c:v>65.364609061889951</c:v>
                </c:pt>
                <c:pt idx="224">
                  <c:v>65.226831816952739</c:v>
                </c:pt>
                <c:pt idx="225">
                  <c:v>65.089453208990975</c:v>
                </c:pt>
                <c:pt idx="226">
                  <c:v>63.737399776384265</c:v>
                </c:pt>
                <c:pt idx="227">
                  <c:v>62.424221900218257</c:v>
                </c:pt>
                <c:pt idx="228">
                  <c:v>61.148971569039873</c:v>
                </c:pt>
                <c:pt idx="229">
                  <c:v>59.910673830559901</c:v>
                </c:pt>
                <c:pt idx="230">
                  <c:v>58.708342591523021</c:v>
                </c:pt>
                <c:pt idx="231">
                  <c:v>57.540990264516836</c:v>
                </c:pt>
                <c:pt idx="232">
                  <c:v>56.407633774452663</c:v>
                </c:pt>
                <c:pt idx="233">
                  <c:v>55.307298426537557</c:v>
                </c:pt>
                <c:pt idx="234">
                  <c:v>54.239020527127721</c:v>
                </c:pt>
                <c:pt idx="235">
                  <c:v>53.20184927991707</c:v>
                </c:pt>
                <c:pt idx="236">
                  <c:v>52.194848257612094</c:v>
                </c:pt>
                <c:pt idx="237">
                  <c:v>51.217096616379933</c:v>
                </c:pt>
                <c:pt idx="238">
                  <c:v>50.267690142114049</c:v>
                </c:pt>
                <c:pt idx="239">
                  <c:v>49.345742172605469</c:v>
                </c:pt>
                <c:pt idx="240">
                  <c:v>48.45038441489541</c:v>
                </c:pt>
                <c:pt idx="241">
                  <c:v>47.580767664298975</c:v>
                </c:pt>
                <c:pt idx="242">
                  <c:v>46.736062425829317</c:v>
                </c:pt>
                <c:pt idx="243">
                  <c:v>45.915459436941262</c:v>
                </c:pt>
                <c:pt idx="244">
                  <c:v>45.118170090786151</c:v>
                </c:pt>
                <c:pt idx="245">
                  <c:v>44.343426760413877</c:v>
                </c:pt>
                <c:pt idx="246">
                  <c:v>43.590483025922481</c:v>
                </c:pt>
                <c:pt idx="247">
                  <c:v>42.858613808088364</c:v>
                </c:pt>
                <c:pt idx="248">
                  <c:v>42.147115413328407</c:v>
                </c:pt>
                <c:pt idx="249">
                  <c:v>41.455305495875564</c:v>
                </c:pt>
                <c:pt idx="250">
                  <c:v>40.782522943778133</c:v>
                </c:pt>
                <c:pt idx="251">
                  <c:v>40.128127695781529</c:v>
                </c:pt>
                <c:pt idx="252">
                  <c:v>39.491500496353126</c:v>
                </c:pt>
                <c:pt idx="253">
                  <c:v>38.872042596111754</c:v>
                </c:pt>
                <c:pt idx="254">
                  <c:v>38.269175404761086</c:v>
                </c:pt>
                <c:pt idx="255">
                  <c:v>37.68234010334362</c:v>
                </c:pt>
                <c:pt idx="256">
                  <c:v>37.11099722225967</c:v>
                </c:pt>
                <c:pt idx="257">
                  <c:v>36.554626191067285</c:v>
                </c:pt>
                <c:pt idx="258">
                  <c:v>36.012724865610693</c:v>
                </c:pt>
                <c:pt idx="259">
                  <c:v>35.484809037544892</c:v>
                </c:pt>
                <c:pt idx="260">
                  <c:v>34.970411930839362</c:v>
                </c:pt>
                <c:pt idx="261">
                  <c:v>34.469083689370279</c:v>
                </c:pt>
                <c:pt idx="262">
                  <c:v>33.980390859254186</c:v>
                </c:pt>
                <c:pt idx="263">
                  <c:v>33.503915869144464</c:v>
                </c:pt>
                <c:pt idx="264">
                  <c:v>33.039256511306064</c:v>
                </c:pt>
                <c:pt idx="265">
                  <c:v>32.586025425909071</c:v>
                </c:pt>
                <c:pt idx="266">
                  <c:v>32.143849590636023</c:v>
                </c:pt>
                <c:pt idx="267">
                  <c:v>31.712369817384115</c:v>
                </c:pt>
                <c:pt idx="268">
                  <c:v>31.291240257558172</c:v>
                </c:pt>
                <c:pt idx="269">
                  <c:v>30.880127917193761</c:v>
                </c:pt>
                <c:pt idx="270">
                  <c:v>30.478712182922493</c:v>
                </c:pt>
                <c:pt idx="271">
                  <c:v>30.086684359586116</c:v>
                </c:pt>
                <c:pt idx="272">
                  <c:v>29.703747220127241</c:v>
                </c:pt>
                <c:pt idx="273">
                  <c:v>29.329614568226646</c:v>
                </c:pt>
                <c:pt idx="274">
                  <c:v>28.964010814018337</c:v>
                </c:pt>
                <c:pt idx="275">
                  <c:v>28.606670563093303</c:v>
                </c:pt>
                <c:pt idx="276">
                  <c:v>28.257338218899861</c:v>
                </c:pt>
                <c:pt idx="277">
                  <c:v>27.915767598558205</c:v>
                </c:pt>
                <c:pt idx="278">
                  <c:v>27.581721562032442</c:v>
                </c:pt>
                <c:pt idx="279">
                  <c:v>27.254971654537115</c:v>
                </c:pt>
                <c:pt idx="280">
                  <c:v>26.935297762002591</c:v>
                </c:pt>
                <c:pt idx="281">
                  <c:v>26.622487779379412</c:v>
                </c:pt>
                <c:pt idx="282">
                  <c:v>26.316337291522984</c:v>
                </c:pt>
                <c:pt idx="283">
                  <c:v>26.016649266373491</c:v>
                </c:pt>
                <c:pt idx="284">
                  <c:v>25.723233760119825</c:v>
                </c:pt>
                <c:pt idx="285">
                  <c:v>25.435907634019827</c:v>
                </c:pt>
                <c:pt idx="286">
                  <c:v>25.15449428253595</c:v>
                </c:pt>
                <c:pt idx="287">
                  <c:v>24.878823372435676</c:v>
                </c:pt>
                <c:pt idx="288">
                  <c:v>24.608730592500592</c:v>
                </c:pt>
                <c:pt idx="289">
                  <c:v>24.344057413485132</c:v>
                </c:pt>
                <c:pt idx="290">
                  <c:v>24.084650857966068</c:v>
                </c:pt>
                <c:pt idx="291">
                  <c:v>23.830363279725304</c:v>
                </c:pt>
                <c:pt idx="292">
                  <c:v>23.581052152312253</c:v>
                </c:pt>
                <c:pt idx="293">
                  <c:v>23.336579866437432</c:v>
                </c:pt>
                <c:pt idx="294">
                  <c:v>23.096813535855205</c:v>
                </c:pt>
                <c:pt idx="295">
                  <c:v>22.861624811400162</c:v>
                </c:pt>
                <c:pt idx="296">
                  <c:v>22.630889702851505</c:v>
                </c:pt>
                <c:pt idx="297">
                  <c:v>22.404488408306378</c:v>
                </c:pt>
                <c:pt idx="298">
                  <c:v>22.182305150753393</c:v>
                </c:pt>
                <c:pt idx="299">
                  <c:v>21.964228021547626</c:v>
                </c:pt>
                <c:pt idx="300">
                  <c:v>21.750148830496187</c:v>
                </c:pt>
                <c:pt idx="301">
                  <c:v>21.539962962276007</c:v>
                </c:pt>
                <c:pt idx="302">
                  <c:v>21.333569238911963</c:v>
                </c:pt>
                <c:pt idx="303">
                  <c:v>21.130869788057112</c:v>
                </c:pt>
                <c:pt idx="304">
                  <c:v>20.931769916823072</c:v>
                </c:pt>
                <c:pt idx="305">
                  <c:v>20.736177990920993</c:v>
                </c:pt>
                <c:pt idx="306">
                  <c:v>20.544005318881204</c:v>
                </c:pt>
                <c:pt idx="307">
                  <c:v>20.355166041129451</c:v>
                </c:pt>
                <c:pt idx="308">
                  <c:v>20.169577023707717</c:v>
                </c:pt>
                <c:pt idx="309">
                  <c:v>19.987157756435067</c:v>
                </c:pt>
                <c:pt idx="310">
                  <c:v>19.807830255312581</c:v>
                </c:pt>
                <c:pt idx="311">
                  <c:v>19.631518968986597</c:v>
                </c:pt>
                <c:pt idx="312">
                  <c:v>19.458150689089933</c:v>
                </c:pt>
                <c:pt idx="313">
                  <c:v>19.287654464290597</c:v>
                </c:pt>
                <c:pt idx="314">
                  <c:v>19.119961517883894</c:v>
                </c:pt>
                <c:pt idx="315">
                  <c:v>18.955005168771748</c:v>
                </c:pt>
                <c:pt idx="316">
                  <c:v>18.792720755679369</c:v>
                </c:pt>
                <c:pt idx="317">
                  <c:v>18.633045564466272</c:v>
                </c:pt>
                <c:pt idx="318">
                  <c:v>18.475918758396148</c:v>
                </c:pt>
                <c:pt idx="319">
                  <c:v>18.32128131123352</c:v>
                </c:pt>
                <c:pt idx="320">
                  <c:v>18.169075943044646</c:v>
                </c:pt>
                <c:pt idx="321">
                  <c:v>18.019247058582806</c:v>
                </c:pt>
                <c:pt idx="322">
                  <c:v>17.871740688144854</c:v>
                </c:pt>
                <c:pt idx="323">
                  <c:v>17.726504430790811</c:v>
                </c:pt>
                <c:pt idx="324">
                  <c:v>17.583487399823696</c:v>
                </c:pt>
                <c:pt idx="325">
                  <c:v>17.442640170430252</c:v>
                </c:pt>
                <c:pt idx="326">
                  <c:v>17.30391472938939</c:v>
                </c:pt>
                <c:pt idx="327">
                  <c:v>17.167264426758152</c:v>
                </c:pt>
                <c:pt idx="328">
                  <c:v>17.032643929449847</c:v>
                </c:pt>
                <c:pt idx="329">
                  <c:v>16.900009176622291</c:v>
                </c:pt>
                <c:pt idx="330">
                  <c:v>16.769317336799077</c:v>
                </c:pt>
                <c:pt idx="331">
                  <c:v>16.640526766648406</c:v>
                </c:pt>
                <c:pt idx="332">
                  <c:v>16.513596971349472</c:v>
                </c:pt>
                <c:pt idx="333">
                  <c:v>16.388488566478202</c:v>
                </c:pt>
                <c:pt idx="334">
                  <c:v>16.265163241347864</c:v>
                </c:pt>
                <c:pt idx="335">
                  <c:v>16.143583723742864</c:v>
                </c:pt>
                <c:pt idx="336">
                  <c:v>16.023713745986953</c:v>
                </c:pt>
                <c:pt idx="337">
                  <c:v>15.905518012289519</c:v>
                </c:pt>
                <c:pt idx="338">
                  <c:v>15.788962167316328</c:v>
                </c:pt>
                <c:pt idx="339">
                  <c:v>15.674012765933838</c:v>
                </c:pt>
                <c:pt idx="340">
                  <c:v>15.560637244077782</c:v>
                </c:pt>
                <c:pt idx="341">
                  <c:v>15.448803890699423</c:v>
                </c:pt>
                <c:pt idx="342">
                  <c:v>15.338481820745358</c:v>
                </c:pt>
                <c:pt idx="343">
                  <c:v>15.229640949127514</c:v>
                </c:pt>
                <c:pt idx="344">
                  <c:v>15.122251965643272</c:v>
                </c:pt>
                <c:pt idx="345">
                  <c:v>15.016286310806805</c:v>
                </c:pt>
                <c:pt idx="346">
                  <c:v>14.911716152554135</c:v>
                </c:pt>
                <c:pt idx="347">
                  <c:v>14.808514363786998</c:v>
                </c:pt>
                <c:pt idx="348">
                  <c:v>14.706654500720845</c:v>
                </c:pt>
                <c:pt idx="349">
                  <c:v>14.606110782005601</c:v>
                </c:pt>
                <c:pt idx="350">
                  <c:v>14.506858068587263</c:v>
                </c:pt>
                <c:pt idx="351">
                  <c:v>14.408871844281123</c:v>
                </c:pt>
                <c:pt idx="352">
                  <c:v>14.312128197028727</c:v>
                </c:pt>
                <c:pt idx="353">
                  <c:v>14.216603800810333</c:v>
                </c:pt>
                <c:pt idx="354">
                  <c:v>14.122275898188292</c:v>
                </c:pt>
                <c:pt idx="355">
                  <c:v>14.029122283455678</c:v>
                </c:pt>
                <c:pt idx="356">
                  <c:v>13.93712128636696</c:v>
                </c:pt>
                <c:pt idx="357">
                  <c:v>13.846251756427449</c:v>
                </c:pt>
                <c:pt idx="358">
                  <c:v>13.756493047720539</c:v>
                </c:pt>
                <c:pt idx="359">
                  <c:v>13.667825004251483</c:v>
                </c:pt>
                <c:pt idx="360">
                  <c:v>13.58022794578784</c:v>
                </c:pt>
                <c:pt idx="361">
                  <c:v>13.493682654177718</c:v>
                </c:pt>
                <c:pt idx="362">
                  <c:v>13.4081703601274</c:v>
                </c:pt>
                <c:pt idx="363">
                  <c:v>13.323672730421094</c:v>
                </c:pt>
                <c:pt idx="364">
                  <c:v>13.240171855565706</c:v>
                </c:pt>
                <c:pt idx="365">
                  <c:v>13.157650237845047</c:v>
                </c:pt>
                <c:pt idx="366">
                  <c:v>13.076090779767583</c:v>
                </c:pt>
                <c:pt idx="367">
                  <c:v>12.99547677289371</c:v>
                </c:pt>
                <c:pt idx="368">
                  <c:v>12.915791887027524</c:v>
                </c:pt>
                <c:pt idx="369">
                  <c:v>12.837020159760527</c:v>
                </c:pt>
                <c:pt idx="370">
                  <c:v>12.759145986353275</c:v>
                </c:pt>
                <c:pt idx="371">
                  <c:v>12.682154109943639</c:v>
                </c:pt>
                <c:pt idx="372">
                  <c:v>12.606029612068568</c:v>
                </c:pt>
                <c:pt idx="373">
                  <c:v>12.530757903488819</c:v>
                </c:pt>
                <c:pt idx="374">
                  <c:v>12.456324715305271</c:v>
                </c:pt>
                <c:pt idx="375">
                  <c:v>12.382716090356354</c:v>
                </c:pt>
                <c:pt idx="376">
                  <c:v>12.309918374886195</c:v>
                </c:pt>
                <c:pt idx="377">
                  <c:v>12.237918210474305</c:v>
                </c:pt>
                <c:pt idx="378">
                  <c:v>12.166702526217108</c:v>
                </c:pt>
                <c:pt idx="379">
                  <c:v>12.096258531152358</c:v>
                </c:pt>
                <c:pt idx="380">
                  <c:v>12.026573706917901</c:v>
                </c:pt>
                <c:pt idx="381">
                  <c:v>11.957635800636609</c:v>
                </c:pt>
                <c:pt idx="382">
                  <c:v>11.889432818019543</c:v>
                </c:pt>
                <c:pt idx="383">
                  <c:v>11.821953016679203</c:v>
                </c:pt>
                <c:pt idx="384">
                  <c:v>11.755184899646707</c:v>
                </c:pt>
                <c:pt idx="385">
                  <c:v>11.689117209084316</c:v>
                </c:pt>
                <c:pt idx="386">
                  <c:v>11.623738920188003</c:v>
                </c:pt>
                <c:pt idx="387">
                  <c:v>11.559039235272479</c:v>
                </c:pt>
                <c:pt idx="388">
                  <c:v>11.495007578032784</c:v>
                </c:pt>
                <c:pt idx="389">
                  <c:v>11.431633587976819</c:v>
                </c:pt>
                <c:pt idx="390">
                  <c:v>11.368907115022324</c:v>
                </c:pt>
                <c:pt idx="391">
                  <c:v>11.306818214253099</c:v>
                </c:pt>
                <c:pt idx="392">
                  <c:v>11.245357140829356</c:v>
                </c:pt>
                <c:pt idx="393">
                  <c:v>11.184514345046153</c:v>
                </c:pt>
                <c:pt idx="394">
                  <c:v>11.124280467536352</c:v>
                </c:pt>
                <c:pt idx="395">
                  <c:v>11.064646334611751</c:v>
                </c:pt>
                <c:pt idx="396">
                  <c:v>11.005602953739128</c:v>
                </c:pt>
                <c:pt idx="397">
                  <c:v>10.947141509145638</c:v>
                </c:pt>
                <c:pt idx="398">
                  <c:v>10.889253357550473</c:v>
                </c:pt>
                <c:pt idx="399">
                  <c:v>10.831930024017311</c:v>
                </c:pt>
                <c:pt idx="400">
                  <c:v>10.77516319792511</c:v>
                </c:pt>
                <c:pt idx="401">
                  <c:v>10.718944729051941</c:v>
                </c:pt>
                <c:pt idx="402">
                  <c:v>10.663266623769204</c:v>
                </c:pt>
                <c:pt idx="403">
                  <c:v>10.608121041342486</c:v>
                </c:pt>
                <c:pt idx="404">
                  <c:v>10.553500290335279</c:v>
                </c:pt>
                <c:pt idx="405">
                  <c:v>10.499396825112512</c:v>
                </c:pt>
                <c:pt idx="406">
                  <c:v>10.445803242440974</c:v>
                </c:pt>
                <c:pt idx="407">
                  <c:v>10.392712278182927</c:v>
                </c:pt>
                <c:pt idx="408">
                  <c:v>10.340116804080736</c:v>
                </c:pt>
                <c:pt idx="409">
                  <c:v>10.288009824628858</c:v>
                </c:pt>
                <c:pt idx="410">
                  <c:v>10.236384474031212</c:v>
                </c:pt>
                <c:pt idx="411">
                  <c:v>10.185234013240859</c:v>
                </c:pt>
                <c:pt idx="412">
                  <c:v>10.13455182707898</c:v>
                </c:pt>
                <c:pt idx="413">
                  <c:v>10.084331421432182</c:v>
                </c:pt>
                <c:pt idx="414">
                  <c:v>10.034566420523674</c:v>
                </c:pt>
                <c:pt idx="415">
                  <c:v>9.9852505642579672</c:v>
                </c:pt>
                <c:pt idx="416">
                  <c:v>9.9363777056355218</c:v>
                </c:pt>
                <c:pt idx="417">
                  <c:v>9.8879418082357802</c:v>
                </c:pt>
                <c:pt idx="418">
                  <c:v>9.8399369437665882</c:v>
                </c:pt>
                <c:pt idx="419">
                  <c:v>9.7923572896775113</c:v>
                </c:pt>
                <c:pt idx="420">
                  <c:v>9.7451971268357624</c:v>
                </c:pt>
                <c:pt idx="421">
                  <c:v>9.698450837262385</c:v>
                </c:pt>
                <c:pt idx="422">
                  <c:v>9.652112901927012</c:v>
                </c:pt>
                <c:pt idx="423">
                  <c:v>9.6061778985996398</c:v>
                </c:pt>
                <c:pt idx="424">
                  <c:v>9.5606404997573406</c:v>
                </c:pt>
                <c:pt idx="425">
                  <c:v>9.5154954705447494</c:v>
                </c:pt>
                <c:pt idx="426">
                  <c:v>9.4707376667865049</c:v>
                </c:pt>
                <c:pt idx="427">
                  <c:v>9.4263620330500828</c:v>
                </c:pt>
                <c:pt idx="428">
                  <c:v>9.3823636007574009</c:v>
                </c:pt>
                <c:pt idx="429">
                  <c:v>9.3387374863445132</c:v>
                </c:pt>
                <c:pt idx="430">
                  <c:v>9.2954788894668638</c:v>
                </c:pt>
                <c:pt idx="431">
                  <c:v>9.2525830912499316</c:v>
                </c:pt>
                <c:pt idx="432">
                  <c:v>9.2100454525830173</c:v>
                </c:pt>
                <c:pt idx="433">
                  <c:v>9.1678614124555793</c:v>
                </c:pt>
                <c:pt idx="434">
                  <c:v>9.1260264863344958</c:v>
                </c:pt>
                <c:pt idx="435">
                  <c:v>9.0845362645815158</c:v>
                </c:pt>
                <c:pt idx="436">
                  <c:v>9.0433864109091644</c:v>
                </c:pt>
                <c:pt idx="437">
                  <c:v>9.0025726608746481</c:v>
                </c:pt>
                <c:pt idx="438">
                  <c:v>8.9620908204103102</c:v>
                </c:pt>
                <c:pt idx="439">
                  <c:v>8.9219367643895566</c:v>
                </c:pt>
                <c:pt idx="440">
                  <c:v>8.8821064352277972</c:v>
                </c:pt>
                <c:pt idx="441">
                  <c:v>8.8425958415163564</c:v>
                </c:pt>
                <c:pt idx="442">
                  <c:v>8.8034010566900918</c:v>
                </c:pt>
                <c:pt idx="443">
                  <c:v>8.7645182177257652</c:v>
                </c:pt>
                <c:pt idx="444">
                  <c:v>8.7259435238722745</c:v>
                </c:pt>
                <c:pt idx="445">
                  <c:v>8.6876732354103012</c:v>
                </c:pt>
                <c:pt idx="446">
                  <c:v>8.6497036724418876</c:v>
                </c:pt>
                <c:pt idx="447">
                  <c:v>8.6120312137077804</c:v>
                </c:pt>
                <c:pt idx="448">
                  <c:v>8.5746522954329691</c:v>
                </c:pt>
                <c:pt idx="449">
                  <c:v>8.5375634101993398</c:v>
                </c:pt>
                <c:pt idx="450">
                  <c:v>8.5007611058437362</c:v>
                </c:pt>
                <c:pt idx="451">
                  <c:v>8.4642419843826247</c:v>
                </c:pt>
                <c:pt idx="452">
                  <c:v>8.4280027009609171</c:v>
                </c:pt>
                <c:pt idx="453">
                  <c:v>8.3920399628249243</c:v>
                </c:pt>
                <c:pt idx="454">
                  <c:v>8.3563505283195241</c:v>
                </c:pt>
                <c:pt idx="455">
                  <c:v>8.3209312059074421</c:v>
                </c:pt>
                <c:pt idx="456">
                  <c:v>8.2857788532114114</c:v>
                </c:pt>
                <c:pt idx="457">
                  <c:v>8.2508903760777912</c:v>
                </c:pt>
                <c:pt idx="458">
                  <c:v>8.2162627276615581</c:v>
                </c:pt>
                <c:pt idx="459">
                  <c:v>8.1818929075317044</c:v>
                </c:pt>
                <c:pt idx="460">
                  <c:v>8.147777960796617</c:v>
                </c:pt>
                <c:pt idx="461">
                  <c:v>8.1139149772496353</c:v>
                </c:pt>
                <c:pt idx="462">
                  <c:v>8.0803010905328847</c:v>
                </c:pt>
                <c:pt idx="463">
                  <c:v>8.0469334773200671</c:v>
                </c:pt>
                <c:pt idx="464">
                  <c:v>8.0138093565172994</c:v>
                </c:pt>
                <c:pt idx="465">
                  <c:v>7.9809259884815447</c:v>
                </c:pt>
                <c:pt idx="466">
                  <c:v>7.9482806742563241</c:v>
                </c:pt>
                <c:pt idx="467">
                  <c:v>7.9158707548239704</c:v>
                </c:pt>
                <c:pt idx="468">
                  <c:v>7.8836936103742516</c:v>
                </c:pt>
                <c:pt idx="469">
                  <c:v>7.851746659589196</c:v>
                </c:pt>
                <c:pt idx="470">
                  <c:v>7.8200273589428662</c:v>
                </c:pt>
                <c:pt idx="471">
                  <c:v>7.7885332020167937</c:v>
                </c:pt>
                <c:pt idx="472">
                  <c:v>7.7572617188298807</c:v>
                </c:pt>
                <c:pt idx="473">
                  <c:v>7.7262104751826257</c:v>
                </c:pt>
                <c:pt idx="474">
                  <c:v>7.6953770720156172</c:v>
                </c:pt>
                <c:pt idx="475">
                  <c:v>7.6647591447813568</c:v>
                </c:pt>
                <c:pt idx="476">
                  <c:v>7.6343543628298107</c:v>
                </c:pt>
                <c:pt idx="477">
                  <c:v>7.6041604288066935</c:v>
                </c:pt>
                <c:pt idx="478">
                  <c:v>7.5741750780643429</c:v>
                </c:pt>
                <c:pt idx="479">
                  <c:v>7.5443960780855548</c:v>
                </c:pt>
                <c:pt idx="480">
                  <c:v>7.5148212279185884</c:v>
                </c:pt>
                <c:pt idx="481">
                  <c:v>7.4854483576249322</c:v>
                </c:pt>
                <c:pt idx="482">
                  <c:v>7.4562753277378704</c:v>
                </c:pt>
                <c:pt idx="483">
                  <c:v>7.4273000287323896</c:v>
                </c:pt>
                <c:pt idx="484">
                  <c:v>7.3985203805065112</c:v>
                </c:pt>
                <c:pt idx="485">
                  <c:v>7.3699343318727131</c:v>
                </c:pt>
                <c:pt idx="486">
                  <c:v>7.341539860060152</c:v>
                </c:pt>
                <c:pt idx="487">
                  <c:v>7.3133349702269754</c:v>
                </c:pt>
                <c:pt idx="488">
                  <c:v>7.2853176949825524</c:v>
                </c:pt>
                <c:pt idx="489">
                  <c:v>7.2574860939195105</c:v>
                </c:pt>
                <c:pt idx="490">
                  <c:v>7.2298382531552647</c:v>
                </c:pt>
                <c:pt idx="491">
                  <c:v>7.2023722848826139</c:v>
                </c:pt>
                <c:pt idx="492">
                  <c:v>7.1750863269297156</c:v>
                </c:pt>
                <c:pt idx="493">
                  <c:v>7.1479785423285875</c:v>
                </c:pt>
                <c:pt idx="494">
                  <c:v>7.1210471188923918</c:v>
                </c:pt>
                <c:pt idx="495">
                  <c:v>7.0942902688011884</c:v>
                </c:pt>
                <c:pt idx="496">
                  <c:v>7.0677062281959593</c:v>
                </c:pt>
                <c:pt idx="497">
                  <c:v>7.0412932567803352</c:v>
                </c:pt>
                <c:pt idx="498">
                  <c:v>7.0150496374307636</c:v>
                </c:pt>
                <c:pt idx="499">
                  <c:v>6.9889736758138383</c:v>
                </c:pt>
                <c:pt idx="500">
                  <c:v>6.9630637000114461</c:v>
                </c:pt>
                <c:pt idx="501">
                  <c:v>6.9373180601531033</c:v>
                </c:pt>
                <c:pt idx="502">
                  <c:v>6.9117351280557386</c:v>
                </c:pt>
                <c:pt idx="503">
                  <c:v>6.8863132968697869</c:v>
                </c:pt>
                <c:pt idx="504">
                  <c:v>6.8610509807333528</c:v>
                </c:pt>
                <c:pt idx="505">
                  <c:v>6.8359466144314922</c:v>
                </c:pt>
                <c:pt idx="506">
                  <c:v>6.8109986530637627</c:v>
                </c:pt>
                <c:pt idx="507">
                  <c:v>6.7862055717165504</c:v>
                </c:pt>
                <c:pt idx="508">
                  <c:v>6.761565865142984</c:v>
                </c:pt>
                <c:pt idx="509">
                  <c:v>6.7370780474480512</c:v>
                </c:pt>
                <c:pt idx="510">
                  <c:v>6.7127406517803365</c:v>
                </c:pt>
                <c:pt idx="511">
                  <c:v>6.6885522300290745</c:v>
                </c:pt>
                <c:pt idx="512">
                  <c:v>6.6645113525274269</c:v>
                </c:pt>
                <c:pt idx="513">
                  <c:v>6.640616607761018</c:v>
                </c:pt>
                <c:pt idx="514">
                  <c:v>6.616866602082041</c:v>
                </c:pt>
                <c:pt idx="515">
                  <c:v>6.5932599594287922</c:v>
                </c:pt>
                <c:pt idx="516">
                  <c:v>6.5697953210504068</c:v>
                </c:pt>
                <c:pt idx="517">
                  <c:v>6.5464713452367107</c:v>
                </c:pt>
                <c:pt idx="518">
                  <c:v>6.5232867070531029</c:v>
                </c:pt>
                <c:pt idx="519">
                  <c:v>6.5002400980802975</c:v>
                </c:pt>
                <c:pt idx="520">
                  <c:v>6.4773302261591255</c:v>
                </c:pt>
                <c:pt idx="521">
                  <c:v>6.4545558151394573</c:v>
                </c:pt>
                <c:pt idx="522">
                  <c:v>6.4319156046346677</c:v>
                </c:pt>
                <c:pt idx="523">
                  <c:v>6.4094083497793406</c:v>
                </c:pt>
                <c:pt idx="524">
                  <c:v>6.3870328209928573</c:v>
                </c:pt>
                <c:pt idx="525">
                  <c:v>6.364787803745827</c:v>
                </c:pt>
                <c:pt idx="526">
                  <c:v>6.3426720983320024</c:v>
                </c:pt>
                <c:pt idx="527">
                  <c:v>6.3206845196435495</c:v>
                </c:pt>
                <c:pt idx="528">
                  <c:v>6.2988238969504664</c:v>
                </c:pt>
                <c:pt idx="529">
                  <c:v>6.2770890736844365</c:v>
                </c:pt>
                <c:pt idx="530">
                  <c:v>6.2554789072260064</c:v>
                </c:pt>
                <c:pt idx="531">
                  <c:v>6.2339922686956868</c:v>
                </c:pt>
                <c:pt idx="532">
                  <c:v>6.2126280427491736</c:v>
                </c:pt>
                <c:pt idx="533">
                  <c:v>6.1913851273758098</c:v>
                </c:pt>
                <c:pt idx="534">
                  <c:v>6.1702624337005147</c:v>
                </c:pt>
                <c:pt idx="535">
                  <c:v>6.1492588857898056</c:v>
                </c:pt>
                <c:pt idx="536">
                  <c:v>6.1283734204605764</c:v>
                </c:pt>
                <c:pt idx="537">
                  <c:v>6.1076049870926283</c:v>
                </c:pt>
                <c:pt idx="538">
                  <c:v>6.0869525474444401</c:v>
                </c:pt>
                <c:pt idx="539">
                  <c:v>6.0664150754719515</c:v>
                </c:pt>
                <c:pt idx="540">
                  <c:v>6.0459915571508702</c:v>
                </c:pt>
                <c:pt idx="541">
                  <c:v>6.0256809903016517</c:v>
                </c:pt>
                <c:pt idx="542">
                  <c:v>6.0054823844178884</c:v>
                </c:pt>
                <c:pt idx="543">
                  <c:v>5.9853947604973428</c:v>
                </c:pt>
                <c:pt idx="544">
                  <c:v>5.9654171508761635</c:v>
                </c:pt>
                <c:pt idx="545">
                  <c:v>5.9455485990657451</c:v>
                </c:pt>
                <c:pt idx="546">
                  <c:v>5.9257881595926278</c:v>
                </c:pt>
                <c:pt idx="547">
                  <c:v>5.9061348978406727</c:v>
                </c:pt>
                <c:pt idx="548">
                  <c:v>5.8865878898966173</c:v>
                </c:pt>
                <c:pt idx="549">
                  <c:v>5.86714622239748</c:v>
                </c:pt>
                <c:pt idx="550">
                  <c:v>5.8478089923813457</c:v>
                </c:pt>
                <c:pt idx="551">
                  <c:v>5.8285753071399142</c:v>
                </c:pt>
                <c:pt idx="552">
                  <c:v>5.8094442840740896</c:v>
                </c:pt>
                <c:pt idx="553">
                  <c:v>5.7904150505517862</c:v>
                </c:pt>
                <c:pt idx="554">
                  <c:v>5.7714867437680937</c:v>
                </c:pt>
                <c:pt idx="555">
                  <c:v>5.7526585106078016</c:v>
                </c:pt>
                <c:pt idx="556">
                  <c:v>5.7339295075101688</c:v>
                </c:pt>
                <c:pt idx="557">
                  <c:v>5.7152989003363359</c:v>
                </c:pt>
                <c:pt idx="558">
                  <c:v>5.6967658642382162</c:v>
                </c:pt>
                <c:pt idx="559">
                  <c:v>5.6783295835300862</c:v>
                </c:pt>
                <c:pt idx="560">
                  <c:v>5.659989251562223</c:v>
                </c:pt>
                <c:pt idx="561">
                  <c:v>5.6417440705965305</c:v>
                </c:pt>
                <c:pt idx="562">
                  <c:v>5.6235932516842411</c:v>
                </c:pt>
                <c:pt idx="563">
                  <c:v>5.6055360145454358</c:v>
                </c:pt>
                <c:pt idx="564">
                  <c:v>5.5875715874510377</c:v>
                </c:pt>
                <c:pt idx="565">
                  <c:v>5.5696992071060833</c:v>
                </c:pt>
                <c:pt idx="566">
                  <c:v>5.551918118535383</c:v>
                </c:pt>
                <c:pt idx="567">
                  <c:v>5.5342275749707142</c:v>
                </c:pt>
                <c:pt idx="568">
                  <c:v>5.5166268377401764</c:v>
                </c:pt>
                <c:pt idx="569">
                  <c:v>5.4991151761589094</c:v>
                </c:pt>
                <c:pt idx="570">
                  <c:v>5.4816918674218584</c:v>
                </c:pt>
                <c:pt idx="571">
                  <c:v>5.4643561964982155</c:v>
                </c:pt>
                <c:pt idx="572">
                  <c:v>5.4471074560275667</c:v>
                </c:pt>
                <c:pt idx="573">
                  <c:v>5.4299449462174891</c:v>
                </c:pt>
                <c:pt idx="574">
                  <c:v>5.412867974743051</c:v>
                </c:pt>
                <c:pt idx="575">
                  <c:v>5.3958758566477059</c:v>
                </c:pt>
                <c:pt idx="576">
                  <c:v>5.3789679142459477</c:v>
                </c:pt>
                <c:pt idx="577">
                  <c:v>5.3621434770273027</c:v>
                </c:pt>
                <c:pt idx="578">
                  <c:v>5.3454018815618838</c:v>
                </c:pt>
                <c:pt idx="579">
                  <c:v>5.3287424714075655</c:v>
                </c:pt>
                <c:pt idx="580">
                  <c:v>5.3121645970184375</c:v>
                </c:pt>
                <c:pt idx="581">
                  <c:v>5.2956676156547644</c:v>
                </c:pt>
                <c:pt idx="582">
                  <c:v>5.2792508912943958</c:v>
                </c:pt>
                <c:pt idx="583">
                  <c:v>5.2629137945454829</c:v>
                </c:pt>
                <c:pt idx="584">
                  <c:v>5.2466557025604743</c:v>
                </c:pt>
                <c:pt idx="585">
                  <c:v>5.2304759989515901</c:v>
                </c:pt>
                <c:pt idx="586">
                  <c:v>5.2143740737077167</c:v>
                </c:pt>
                <c:pt idx="587">
                  <c:v>5.1983493231120974</c:v>
                </c:pt>
                <c:pt idx="588">
                  <c:v>5.1824011496617572</c:v>
                </c:pt>
                <c:pt idx="589">
                  <c:v>5.1665289619880639</c:v>
                </c:pt>
                <c:pt idx="590">
                  <c:v>5.1507321747782839</c:v>
                </c:pt>
                <c:pt idx="591">
                  <c:v>5.1350102086986453</c:v>
                </c:pt>
                <c:pt idx="592">
                  <c:v>5.1193624903181671</c:v>
                </c:pt>
                <c:pt idx="593">
                  <c:v>5.10378845203428</c:v>
                </c:pt>
                <c:pt idx="594">
                  <c:v>5.0882875319986738</c:v>
                </c:pt>
                <c:pt idx="595">
                  <c:v>5.0728591740453339</c:v>
                </c:pt>
                <c:pt idx="596">
                  <c:v>5.0575028276185208</c:v>
                </c:pt>
                <c:pt idx="597">
                  <c:v>5.0422179477028521</c:v>
                </c:pt>
                <c:pt idx="598">
                  <c:v>5.0270039947537555</c:v>
                </c:pt>
                <c:pt idx="599">
                  <c:v>5.0118604346292273</c:v>
                </c:pt>
                <c:pt idx="600">
                  <c:v>4.9967867385225873</c:v>
                </c:pt>
                <c:pt idx="601">
                  <c:v>4.9817823828961991</c:v>
                </c:pt>
                <c:pt idx="602">
                  <c:v>4.9668468494162425</c:v>
                </c:pt>
                <c:pt idx="603">
                  <c:v>4.9519796248882528</c:v>
                </c:pt>
                <c:pt idx="604">
                  <c:v>4.9371802011939963</c:v>
                </c:pt>
                <c:pt idx="605">
                  <c:v>4.9224480752287434</c:v>
                </c:pt>
                <c:pt idx="606">
                  <c:v>4.261822173278091</c:v>
                </c:pt>
                <c:pt idx="607">
                  <c:v>3.7203190820279417</c:v>
                </c:pt>
                <c:pt idx="608">
                  <c:v>3.2656653550734234</c:v>
                </c:pt>
                <c:pt idx="609">
                  <c:v>2.8762676237494418</c:v>
                </c:pt>
                <c:pt idx="610">
                  <c:v>2.5371364842612252</c:v>
                </c:pt>
                <c:pt idx="611">
                  <c:v>2.2375432580300298</c:v>
                </c:pt>
                <c:pt idx="612">
                  <c:v>1.9696076442547792</c:v>
                </c:pt>
                <c:pt idx="613">
                  <c:v>1.7274118854727192</c:v>
                </c:pt>
                <c:pt idx="614">
                  <c:v>1.5064259780013742</c:v>
                </c:pt>
                <c:pt idx="615">
                  <c:v>1.3031236156371619</c:v>
                </c:pt>
                <c:pt idx="616">
                  <c:v>1.114718930062395</c:v>
                </c:pt>
                <c:pt idx="617">
                  <c:v>0.93898192771669642</c:v>
                </c:pt>
                <c:pt idx="618">
                  <c:v>0.85588803356210974</c:v>
                </c:pt>
                <c:pt idx="619">
                  <c:v>0.77504196059410901</c:v>
                </c:pt>
                <c:pt idx="620">
                  <c:v>0.69631656412511234</c:v>
                </c:pt>
                <c:pt idx="621">
                  <c:v>0.61959411198009207</c:v>
                </c:pt>
                <c:pt idx="622">
                  <c:v>0.5447654294967208</c:v>
                </c:pt>
                <c:pt idx="623">
                  <c:v>0.47172913604805444</c:v>
                </c:pt>
                <c:pt idx="624">
                  <c:v>0.4003909618598982</c:v>
                </c:pt>
                <c:pt idx="625">
                  <c:v>0.33066313544165382</c:v>
                </c:pt>
                <c:pt idx="626">
                  <c:v>0.26246383326176215</c:v>
                </c:pt>
                <c:pt idx="627">
                  <c:v>0.19571668441102474</c:v>
                </c:pt>
                <c:pt idx="628">
                  <c:v>0.1303503239510917</c:v>
                </c:pt>
                <c:pt idx="629">
                  <c:v>6.6297989454625395E-2</c:v>
                </c:pt>
                <c:pt idx="630">
                  <c:v>3.4971559435348354E-3</c:v>
                </c:pt>
                <c:pt idx="631">
                  <c:v>-5.8110794972577651E-2</c:v>
                </c:pt>
                <c:pt idx="632">
                  <c:v>-0.11858087543660645</c:v>
                </c:pt>
                <c:pt idx="633">
                  <c:v>-0.17796476439855269</c:v>
                </c:pt>
                <c:pt idx="634">
                  <c:v>-0.23631105623243798</c:v>
                </c:pt>
                <c:pt idx="635">
                  <c:v>-0.29366548742976306</c:v>
                </c:pt>
                <c:pt idx="636">
                  <c:v>-0.35007114359225966</c:v>
                </c:pt>
                <c:pt idx="637">
                  <c:v>-0.40556864869196829</c:v>
                </c:pt>
                <c:pt idx="638">
                  <c:v>-0.46019633834669094</c:v>
                </c:pt>
                <c:pt idx="639">
                  <c:v>-0.5139904186633828</c:v>
                </c:pt>
                <c:pt idx="640">
                  <c:v>-0.56698511203271096</c:v>
                </c:pt>
                <c:pt idx="641">
                  <c:v>-0.61921279110822525</c:v>
                </c:pt>
                <c:pt idx="642">
                  <c:v>-0.6707041020727047</c:v>
                </c:pt>
                <c:pt idx="643">
                  <c:v>-0.72148807817708871</c:v>
                </c:pt>
                <c:pt idx="644">
                  <c:v>-0.77159224443687435</c:v>
                </c:pt>
                <c:pt idx="645">
                  <c:v>-0.82104271427792241</c:v>
                </c:pt>
                <c:pt idx="646">
                  <c:v>-0.86986427884585282</c:v>
                </c:pt>
                <c:pt idx="647">
                  <c:v>-0.91808048961965483</c:v>
                </c:pt>
                <c:pt idx="648">
                  <c:v>-0.96571373490837686</c:v>
                </c:pt>
                <c:pt idx="649">
                  <c:v>-1.0127853107527756</c:v>
                </c:pt>
                <c:pt idx="650">
                  <c:v>-1.0593154867037526</c:v>
                </c:pt>
                <c:pt idx="651">
                  <c:v>-1.1053235669036496</c:v>
                </c:pt>
                <c:pt idx="652">
                  <c:v>-1.1508279468577598</c:v>
                </c:pt>
                <c:pt idx="653">
                  <c:v>-1.1958461662467528</c:v>
                </c:pt>
                <c:pt idx="654">
                  <c:v>-1.2403949580975961</c:v>
                </c:pt>
                <c:pt idx="655">
                  <c:v>-1.2844902946034154</c:v>
                </c:pt>
                <c:pt idx="656">
                  <c:v>-1.328147429855278</c:v>
                </c:pt>
                <c:pt idx="657">
                  <c:v>-1.3713809397262366</c:v>
                </c:pt>
                <c:pt idx="658">
                  <c:v>-1.4142047591263918</c:v>
                </c:pt>
                <c:pt idx="659">
                  <c:v>-1.4566322168289219</c:v>
                </c:pt>
                <c:pt idx="660">
                  <c:v>-1.49867606805023</c:v>
                </c:pt>
                <c:pt idx="661">
                  <c:v>-1.5403485249509572</c:v>
                </c:pt>
                <c:pt idx="662">
                  <c:v>-1.581661285211112</c:v>
                </c:pt>
                <c:pt idx="663">
                  <c:v>-1.6226255588198626</c:v>
                </c:pt>
                <c:pt idx="664">
                  <c:v>-1.663252093208655</c:v>
                </c:pt>
                <c:pt idx="665">
                  <c:v>-1.7035511968460071</c:v>
                </c:pt>
                <c:pt idx="666">
                  <c:v>-1.743532761402605</c:v>
                </c:pt>
                <c:pt idx="667">
                  <c:v>-1.7832062825870025</c:v>
                </c:pt>
              </c:numCache>
            </c:numRef>
          </c:yVal>
          <c:smooth val="0"/>
          <c:extLst>
            <c:ext xmlns:c16="http://schemas.microsoft.com/office/drawing/2014/chart" uri="{C3380CC4-5D6E-409C-BE32-E72D297353CC}">
              <c16:uniqueId val="{00000003-D6EE-4DCC-8A11-B110CFB8CEB8}"/>
            </c:ext>
          </c:extLst>
        </c:ser>
        <c:dLbls>
          <c:showLegendKey val="0"/>
          <c:showVal val="0"/>
          <c:showCatName val="0"/>
          <c:showSerName val="0"/>
          <c:showPercent val="0"/>
          <c:showBubbleSize val="0"/>
        </c:dLbls>
        <c:axId val="151720704"/>
        <c:axId val="151722240"/>
      </c:scatterChart>
      <c:valAx>
        <c:axId val="15151590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517824"/>
        <c:crossesAt val="-80"/>
        <c:crossBetween val="midCat"/>
      </c:valAx>
      <c:valAx>
        <c:axId val="151517824"/>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515904"/>
        <c:crosses val="autoZero"/>
        <c:crossBetween val="midCat"/>
      </c:valAx>
      <c:valAx>
        <c:axId val="151720704"/>
        <c:scaling>
          <c:logBase val="10"/>
          <c:orientation val="minMax"/>
        </c:scaling>
        <c:delete val="1"/>
        <c:axPos val="b"/>
        <c:numFmt formatCode="General" sourceLinked="1"/>
        <c:majorTickMark val="out"/>
        <c:minorTickMark val="none"/>
        <c:tickLblPos val="none"/>
        <c:crossAx val="151722240"/>
        <c:crosses val="autoZero"/>
        <c:crossBetween val="midCat"/>
      </c:valAx>
      <c:valAx>
        <c:axId val="151722240"/>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720704"/>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56.448262293008469</c:v>
                </c:pt>
                <c:pt idx="1">
                  <c:v>55.959659817356588</c:v>
                </c:pt>
                <c:pt idx="2">
                  <c:v>55.250623643527312</c:v>
                </c:pt>
                <c:pt idx="3">
                  <c:v>54.419602472063858</c:v>
                </c:pt>
                <c:pt idx="4">
                  <c:v>53.542092476153513</c:v>
                </c:pt>
                <c:pt idx="5">
                  <c:v>52.665685110985301</c:v>
                </c:pt>
                <c:pt idx="6">
                  <c:v>51.816469681526847</c:v>
                </c:pt>
                <c:pt idx="7">
                  <c:v>51.006845157685916</c:v>
                </c:pt>
                <c:pt idx="8">
                  <c:v>50.24134031771829</c:v>
                </c:pt>
                <c:pt idx="9">
                  <c:v>49.520261434039455</c:v>
                </c:pt>
                <c:pt idx="10">
                  <c:v>44.185941073137194</c:v>
                </c:pt>
                <c:pt idx="11">
                  <c:v>40.804505617422876</c:v>
                </c:pt>
                <c:pt idx="12">
                  <c:v>38.356532222149397</c:v>
                </c:pt>
                <c:pt idx="13">
                  <c:v>36.442680104018585</c:v>
                </c:pt>
                <c:pt idx="14">
                  <c:v>34.873010750501216</c:v>
                </c:pt>
                <c:pt idx="15">
                  <c:v>33.543212614638477</c:v>
                </c:pt>
                <c:pt idx="16">
                  <c:v>32.390037876049277</c:v>
                </c:pt>
                <c:pt idx="17">
                  <c:v>31.372302668371972</c:v>
                </c:pt>
                <c:pt idx="18">
                  <c:v>30.461712876468479</c:v>
                </c:pt>
                <c:pt idx="19">
                  <c:v>24.482096859213812</c:v>
                </c:pt>
                <c:pt idx="20">
                  <c:v>21.016613506131975</c:v>
                </c:pt>
                <c:pt idx="21">
                  <c:v>18.594545887450394</c:v>
                </c:pt>
                <c:pt idx="22">
                  <c:v>16.753474287563645</c:v>
                </c:pt>
                <c:pt idx="23">
                  <c:v>15.286802446754237</c:v>
                </c:pt>
                <c:pt idx="24">
                  <c:v>14.083812040134392</c:v>
                </c:pt>
                <c:pt idx="25">
                  <c:v>13.077942043940967</c:v>
                </c:pt>
                <c:pt idx="26">
                  <c:v>12.225822532313686</c:v>
                </c:pt>
                <c:pt idx="27">
                  <c:v>11.497441217945184</c:v>
                </c:pt>
                <c:pt idx="28">
                  <c:v>9.1061071630283958</c:v>
                </c:pt>
                <c:pt idx="29">
                  <c:v>7.9636130122946414</c:v>
                </c:pt>
                <c:pt idx="30">
                  <c:v>7.4923640773870073</c:v>
                </c:pt>
                <c:pt idx="31">
                  <c:v>7.4067489969591076</c:v>
                </c:pt>
                <c:pt idx="32">
                  <c:v>7.5475054059482547</c:v>
                </c:pt>
                <c:pt idx="33">
                  <c:v>7.8209839921929047</c:v>
                </c:pt>
                <c:pt idx="34">
                  <c:v>8.1705168416557061</c:v>
                </c:pt>
                <c:pt idx="35">
                  <c:v>8.5611931422830025</c:v>
                </c:pt>
                <c:pt idx="36">
                  <c:v>8.9712584330837473</c:v>
                </c:pt>
                <c:pt idx="37">
                  <c:v>9.3870787957630988</c:v>
                </c:pt>
                <c:pt idx="38">
                  <c:v>9.8001167328513219</c:v>
                </c:pt>
                <c:pt idx="39">
                  <c:v>10.205077625336356</c:v>
                </c:pt>
                <c:pt idx="40">
                  <c:v>10.598753420498522</c:v>
                </c:pt>
                <c:pt idx="41">
                  <c:v>10.979289881248864</c:v>
                </c:pt>
                <c:pt idx="42">
                  <c:v>11.345715715991261</c:v>
                </c:pt>
                <c:pt idx="43">
                  <c:v>11.69763624890545</c:v>
                </c:pt>
                <c:pt idx="44">
                  <c:v>12.035032009568766</c:v>
                </c:pt>
                <c:pt idx="45">
                  <c:v>12.35812513564229</c:v>
                </c:pt>
                <c:pt idx="46">
                  <c:v>12.667290147920344</c:v>
                </c:pt>
                <c:pt idx="47">
                  <c:v>12.962994082540488</c:v>
                </c:pt>
                <c:pt idx="48">
                  <c:v>13.245756237226459</c:v>
                </c:pt>
                <c:pt idx="49">
                  <c:v>13.516121133582955</c:v>
                </c:pt>
                <c:pt idx="50">
                  <c:v>13.774640447923304</c:v>
                </c:pt>
                <c:pt idx="51">
                  <c:v>14.021861062600532</c:v>
                </c:pt>
                <c:pt idx="52">
                  <c:v>14.258317311044493</c:v>
                </c:pt>
                <c:pt idx="53">
                  <c:v>14.484526102583388</c:v>
                </c:pt>
                <c:pt idx="54">
                  <c:v>14.700984024869951</c:v>
                </c:pt>
                <c:pt idx="55">
                  <c:v>14.908165800841759</c:v>
                </c:pt>
                <c:pt idx="56">
                  <c:v>15.106523667896674</c:v>
                </c:pt>
                <c:pt idx="57">
                  <c:v>15.29648737829101</c:v>
                </c:pt>
                <c:pt idx="58">
                  <c:v>15.478464610774518</c:v>
                </c:pt>
                <c:pt idx="59">
                  <c:v>15.652841646900789</c:v>
                </c:pt>
                <c:pt idx="60">
                  <c:v>15.819984209867265</c:v>
                </c:pt>
                <c:pt idx="61">
                  <c:v>15.980238394963385</c:v>
                </c:pt>
                <c:pt idx="62">
                  <c:v>16.133931642720079</c:v>
                </c:pt>
                <c:pt idx="63">
                  <c:v>16.281373721402964</c:v>
                </c:pt>
                <c:pt idx="64">
                  <c:v>16.422857696480254</c:v>
                </c:pt>
                <c:pt idx="65">
                  <c:v>16.558660872454908</c:v>
                </c:pt>
                <c:pt idx="66">
                  <c:v>16.689045697914334</c:v>
                </c:pt>
                <c:pt idx="67">
                  <c:v>16.814260628479573</c:v>
                </c:pt>
                <c:pt idx="68">
                  <c:v>16.934540944999018</c:v>
                </c:pt>
                <c:pt idx="69">
                  <c:v>17.050109526161478</c:v>
                </c:pt>
                <c:pt idx="70">
                  <c:v>17.161177575940609</c:v>
                </c:pt>
                <c:pt idx="71">
                  <c:v>17.267945307096163</c:v>
                </c:pt>
                <c:pt idx="72">
                  <c:v>17.370602582472053</c:v>
                </c:pt>
                <c:pt idx="73">
                  <c:v>17.469329516133993</c:v>
                </c:pt>
                <c:pt idx="74">
                  <c:v>17.564297036544666</c:v>
                </c:pt>
                <c:pt idx="75">
                  <c:v>17.655667414027793</c:v>
                </c:pt>
                <c:pt idx="76">
                  <c:v>17.743594754756341</c:v>
                </c:pt>
                <c:pt idx="77">
                  <c:v>17.828225463439122</c:v>
                </c:pt>
                <c:pt idx="78">
                  <c:v>17.90969867678967</c:v>
                </c:pt>
                <c:pt idx="79">
                  <c:v>17.988146669754212</c:v>
                </c:pt>
                <c:pt idx="80">
                  <c:v>18.06369523635987</c:v>
                </c:pt>
                <c:pt idx="81">
                  <c:v>18.136464046925656</c:v>
                </c:pt>
                <c:pt idx="82">
                  <c:v>18.206566983261066</c:v>
                </c:pt>
                <c:pt idx="83">
                  <c:v>18.274112453363106</c:v>
                </c:pt>
                <c:pt idx="84">
                  <c:v>18.339203687013651</c:v>
                </c:pt>
                <c:pt idx="85">
                  <c:v>18.401939013575955</c:v>
                </c:pt>
                <c:pt idx="86">
                  <c:v>18.462412123193054</c:v>
                </c:pt>
                <c:pt idx="87">
                  <c:v>18.520712312500947</c:v>
                </c:pt>
                <c:pt idx="88">
                  <c:v>18.576924715886207</c:v>
                </c:pt>
                <c:pt idx="89">
                  <c:v>18.631130523241133</c:v>
                </c:pt>
                <c:pt idx="90">
                  <c:v>18.68340718509852</c:v>
                </c:pt>
                <c:pt idx="91">
                  <c:v>18.733828605963211</c:v>
                </c:pt>
                <c:pt idx="92">
                  <c:v>18.782465326597475</c:v>
                </c:pt>
                <c:pt idx="93">
                  <c:v>18.829384695962496</c:v>
                </c:pt>
                <c:pt idx="94">
                  <c:v>18.874651033467586</c:v>
                </c:pt>
                <c:pt idx="95">
                  <c:v>18.918325782132278</c:v>
                </c:pt>
                <c:pt idx="96">
                  <c:v>18.960467653223933</c:v>
                </c:pt>
                <c:pt idx="97">
                  <c:v>19.001132762894102</c:v>
                </c:pt>
                <c:pt idx="98">
                  <c:v>19.040374761300843</c:v>
                </c:pt>
                <c:pt idx="99">
                  <c:v>19.078244954670982</c:v>
                </c:pt>
                <c:pt idx="100">
                  <c:v>19.114792420725593</c:v>
                </c:pt>
                <c:pt idx="101">
                  <c:v>19.150064117863639</c:v>
                </c:pt>
                <c:pt idx="102">
                  <c:v>19.18410498847275</c:v>
                </c:pt>
                <c:pt idx="103">
                  <c:v>19.216958056711839</c:v>
                </c:pt>
                <c:pt idx="104">
                  <c:v>19.248664521087882</c:v>
                </c:pt>
                <c:pt idx="105">
                  <c:v>19.279263842128628</c:v>
                </c:pt>
                <c:pt idx="106">
                  <c:v>19.308793825433636</c:v>
                </c:pt>
                <c:pt idx="107">
                  <c:v>19.337290700368349</c:v>
                </c:pt>
                <c:pt idx="108">
                  <c:v>19.36478919464923</c:v>
                </c:pt>
                <c:pt idx="109">
                  <c:v>19.391322605052729</c:v>
                </c:pt>
                <c:pt idx="110">
                  <c:v>19.416922864466382</c:v>
                </c:pt>
                <c:pt idx="111">
                  <c:v>19.441620605487046</c:v>
                </c:pt>
                <c:pt idx="112">
                  <c:v>19.465445220758856</c:v>
                </c:pt>
                <c:pt idx="113">
                  <c:v>19.488424920231854</c:v>
                </c:pt>
                <c:pt idx="114">
                  <c:v>19.510586785511315</c:v>
                </c:pt>
                <c:pt idx="115">
                  <c:v>19.531956821457829</c:v>
                </c:pt>
                <c:pt idx="116">
                  <c:v>19.552560005188539</c:v>
                </c:pt>
                <c:pt idx="117">
                  <c:v>19.57242033262122</c:v>
                </c:pt>
                <c:pt idx="118">
                  <c:v>19.591560862694514</c:v>
                </c:pt>
                <c:pt idx="119">
                  <c:v>19.610003759389873</c:v>
                </c:pt>
                <c:pt idx="120">
                  <c:v>19.62777033167351</c:v>
                </c:pt>
                <c:pt idx="121">
                  <c:v>19.644881071469754</c:v>
                </c:pt>
                <c:pt idx="122">
                  <c:v>19.661355689770957</c:v>
                </c:pt>
                <c:pt idx="123">
                  <c:v>19.677213150982908</c:v>
                </c:pt>
                <c:pt idx="124">
                  <c:v>19.692471705599242</c:v>
                </c:pt>
                <c:pt idx="125">
                  <c:v>19.707148921292866</c:v>
                </c:pt>
                <c:pt idx="126">
                  <c:v>19.721261712507616</c:v>
                </c:pt>
                <c:pt idx="127">
                  <c:v>19.734826368628532</c:v>
                </c:pt>
                <c:pt idx="128">
                  <c:v>19.747858580804941</c:v>
                </c:pt>
                <c:pt idx="129">
                  <c:v>19.760373467496112</c:v>
                </c:pt>
                <c:pt idx="130">
                  <c:v>19.772385598805705</c:v>
                </c:pt>
                <c:pt idx="131">
                  <c:v>19.783909019667256</c:v>
                </c:pt>
                <c:pt idx="132">
                  <c:v>19.794957271939765</c:v>
                </c:pt>
                <c:pt idx="133">
                  <c:v>19.805543415469003</c:v>
                </c:pt>
                <c:pt idx="134">
                  <c:v>19.815680048167287</c:v>
                </c:pt>
                <c:pt idx="135">
                  <c:v>19.825379325161439</c:v>
                </c:pt>
                <c:pt idx="136">
                  <c:v>19.834652977055974</c:v>
                </c:pt>
                <c:pt idx="137">
                  <c:v>19.843512327356226</c:v>
                </c:pt>
                <c:pt idx="138">
                  <c:v>19.85196830909328</c:v>
                </c:pt>
                <c:pt idx="139">
                  <c:v>19.860031480690768</c:v>
                </c:pt>
                <c:pt idx="140">
                  <c:v>19.867712041111133</c:v>
                </c:pt>
                <c:pt idx="141">
                  <c:v>19.875019844317162</c:v>
                </c:pt>
                <c:pt idx="142">
                  <c:v>19.881964413082475</c:v>
                </c:pt>
                <c:pt idx="143">
                  <c:v>19.888554952183085</c:v>
                </c:pt>
                <c:pt idx="144">
                  <c:v>19.894800361000275</c:v>
                </c:pt>
                <c:pt idx="145">
                  <c:v>19.90070924556359</c:v>
                </c:pt>
                <c:pt idx="146">
                  <c:v>19.906289930061007</c:v>
                </c:pt>
                <c:pt idx="147">
                  <c:v>19.911550467842325</c:v>
                </c:pt>
                <c:pt idx="148">
                  <c:v>19.916498651939889</c:v>
                </c:pt>
                <c:pt idx="149">
                  <c:v>19.921142025130131</c:v>
                </c:pt>
                <c:pt idx="150">
                  <c:v>19.925487889557711</c:v>
                </c:pt>
                <c:pt idx="151">
                  <c:v>19.92954331594315</c:v>
                </c:pt>
                <c:pt idx="152">
                  <c:v>19.933315152393753</c:v>
                </c:pt>
                <c:pt idx="153">
                  <c:v>19.936810032836529</c:v>
                </c:pt>
                <c:pt idx="154">
                  <c:v>19.940034385090947</c:v>
                </c:pt>
                <c:pt idx="155">
                  <c:v>19.942994438598397</c:v>
                </c:pt>
                <c:pt idx="156">
                  <c:v>19.945696231824378</c:v>
                </c:pt>
                <c:pt idx="157">
                  <c:v>19.948145619348686</c:v>
                </c:pt>
                <c:pt idx="158">
                  <c:v>19.950348278658051</c:v>
                </c:pt>
                <c:pt idx="159">
                  <c:v>19.952309716654881</c:v>
                </c:pt>
                <c:pt idx="160">
                  <c:v>19.954035275895251</c:v>
                </c:pt>
                <c:pt idx="161">
                  <c:v>19.955530140568602</c:v>
                </c:pt>
                <c:pt idx="162">
                  <c:v>19.956799342230624</c:v>
                </c:pt>
                <c:pt idx="163">
                  <c:v>19.957847765300968</c:v>
                </c:pt>
                <c:pt idx="164">
                  <c:v>19.958680152336072</c:v>
                </c:pt>
                <c:pt idx="165">
                  <c:v>19.959301109087381</c:v>
                </c:pt>
                <c:pt idx="166">
                  <c:v>19.959715109354651</c:v>
                </c:pt>
                <c:pt idx="167">
                  <c:v>19.959926499643313</c:v>
                </c:pt>
                <c:pt idx="168">
                  <c:v>19.959939503634804</c:v>
                </c:pt>
                <c:pt idx="169">
                  <c:v>19.959758226478066</c:v>
                </c:pt>
                <c:pt idx="170">
                  <c:v>19.959386658910113</c:v>
                </c:pt>
                <c:pt idx="171">
                  <c:v>19.958828681213234</c:v>
                </c:pt>
                <c:pt idx="172">
                  <c:v>19.95808806701589</c:v>
                </c:pt>
                <c:pt idx="173">
                  <c:v>19.957168486944266</c:v>
                </c:pt>
                <c:pt idx="174">
                  <c:v>19.956073512130835</c:v>
                </c:pt>
                <c:pt idx="175">
                  <c:v>19.954806617586172</c:v>
                </c:pt>
                <c:pt idx="176">
                  <c:v>19.953371185439998</c:v>
                </c:pt>
                <c:pt idx="177">
                  <c:v>19.951770508056875</c:v>
                </c:pt>
                <c:pt idx="178">
                  <c:v>19.950007791032121</c:v>
                </c:pt>
                <c:pt idx="179">
                  <c:v>19.948086156072929</c:v>
                </c:pt>
                <c:pt idx="180">
                  <c:v>19.946008643769524</c:v>
                </c:pt>
                <c:pt idx="181">
                  <c:v>19.94377821626118</c:v>
                </c:pt>
                <c:pt idx="182">
                  <c:v>19.941397759801301</c:v>
                </c:pt>
                <c:pt idx="183">
                  <c:v>19.938870087225958</c:v>
                </c:pt>
                <c:pt idx="184">
                  <c:v>19.936197940329819</c:v>
                </c:pt>
                <c:pt idx="185">
                  <c:v>19.933383992153459</c:v>
                </c:pt>
                <c:pt idx="186">
                  <c:v>19.930430849185441</c:v>
                </c:pt>
                <c:pt idx="187">
                  <c:v>19.927341053483072</c:v>
                </c:pt>
                <c:pt idx="188">
                  <c:v>19.924117084714823</c:v>
                </c:pt>
                <c:pt idx="189">
                  <c:v>19.920761362127827</c:v>
                </c:pt>
                <c:pt idx="190">
                  <c:v>19.91727624644345</c:v>
                </c:pt>
                <c:pt idx="191">
                  <c:v>19.913664041683848</c:v>
                </c:pt>
                <c:pt idx="192">
                  <c:v>19.909926996932292</c:v>
                </c:pt>
                <c:pt idx="193">
                  <c:v>19.906067308029964</c:v>
                </c:pt>
                <c:pt idx="194">
                  <c:v>19.90208711921176</c:v>
                </c:pt>
                <c:pt idx="195">
                  <c:v>19.897988524683537</c:v>
                </c:pt>
                <c:pt idx="196">
                  <c:v>19.8937735701431</c:v>
                </c:pt>
                <c:pt idx="197">
                  <c:v>19.889444254247234</c:v>
                </c:pt>
                <c:pt idx="198">
                  <c:v>19.88500253002686</c:v>
                </c:pt>
                <c:pt idx="199">
                  <c:v>19.880450306252364</c:v>
                </c:pt>
                <c:pt idx="200">
                  <c:v>19.87578944875105</c:v>
                </c:pt>
                <c:pt idx="201">
                  <c:v>19.871021781678628</c:v>
                </c:pt>
                <c:pt idx="202">
                  <c:v>19.866149088746468</c:v>
                </c:pt>
                <c:pt idx="203">
                  <c:v>19.861173114406334</c:v>
                </c:pt>
                <c:pt idx="204">
                  <c:v>19.856095564994348</c:v>
                </c:pt>
                <c:pt idx="205">
                  <c:v>19.850918109835575</c:v>
                </c:pt>
                <c:pt idx="206">
                  <c:v>19.845642382310878</c:v>
                </c:pt>
                <c:pt idx="207">
                  <c:v>19.840269980887456</c:v>
                </c:pt>
                <c:pt idx="208">
                  <c:v>19.834802470114376</c:v>
                </c:pt>
                <c:pt idx="209">
                  <c:v>19.82924138158452</c:v>
                </c:pt>
                <c:pt idx="210">
                  <c:v>19.823588214864177</c:v>
                </c:pt>
                <c:pt idx="211">
                  <c:v>19.817844438391422</c:v>
                </c:pt>
                <c:pt idx="212">
                  <c:v>19.812011490344599</c:v>
                </c:pt>
                <c:pt idx="213">
                  <c:v>19.806090779481917</c:v>
                </c:pt>
                <c:pt idx="214">
                  <c:v>19.800083685953254</c:v>
                </c:pt>
                <c:pt idx="215">
                  <c:v>19.793991562085196</c:v>
                </c:pt>
                <c:pt idx="216">
                  <c:v>19.787815733140356</c:v>
                </c:pt>
                <c:pt idx="217">
                  <c:v>19.781557498051782</c:v>
                </c:pt>
                <c:pt idx="218">
                  <c:v>19.775218130133574</c:v>
                </c:pt>
                <c:pt idx="219">
                  <c:v>19.768798877768351</c:v>
                </c:pt>
                <c:pt idx="220">
                  <c:v>19.76230096507259</c:v>
                </c:pt>
                <c:pt idx="221">
                  <c:v>19.755725592540529</c:v>
                </c:pt>
                <c:pt idx="222">
                  <c:v>19.749073937667472</c:v>
                </c:pt>
                <c:pt idx="223">
                  <c:v>19.74234715555319</c:v>
                </c:pt>
                <c:pt idx="224">
                  <c:v>19.735546379486188</c:v>
                </c:pt>
                <c:pt idx="225">
                  <c:v>19.728672721509422</c:v>
                </c:pt>
                <c:pt idx="226">
                  <c:v>19.65615814295067</c:v>
                </c:pt>
                <c:pt idx="227">
                  <c:v>19.577439947165395</c:v>
                </c:pt>
                <c:pt idx="228">
                  <c:v>19.493351488551575</c:v>
                </c:pt>
                <c:pt idx="229">
                  <c:v>19.404600976082975</c:v>
                </c:pt>
                <c:pt idx="230">
                  <c:v>19.311796542951615</c:v>
                </c:pt>
                <c:pt idx="231">
                  <c:v>19.215465174864399</c:v>
                </c:pt>
                <c:pt idx="232">
                  <c:v>19.116067178805348</c:v>
                </c:pt>
                <c:pt idx="233">
                  <c:v>19.014007379255332</c:v>
                </c:pt>
                <c:pt idx="234">
                  <c:v>18.909643888462316</c:v>
                </c:pt>
                <c:pt idx="235">
                  <c:v>18.803295060507946</c:v>
                </c:pt>
                <c:pt idx="236">
                  <c:v>18.69524507236931</c:v>
                </c:pt>
                <c:pt idx="237">
                  <c:v>18.585748456909542</c:v>
                </c:pt>
                <c:pt idx="238">
                  <c:v>18.475033827986064</c:v>
                </c:pt>
                <c:pt idx="239">
                  <c:v>18.363306976628085</c:v>
                </c:pt>
                <c:pt idx="240">
                  <c:v>18.25075347263823</c:v>
                </c:pt>
                <c:pt idx="241">
                  <c:v>18.13754087325848</c:v>
                </c:pt>
                <c:pt idx="242">
                  <c:v>18.023820616378284</c:v>
                </c:pt>
                <c:pt idx="243">
                  <c:v>17.90972965780097</c:v>
                </c:pt>
                <c:pt idx="244">
                  <c:v>17.795391898650514</c:v>
                </c:pt>
                <c:pt idx="245">
                  <c:v>17.680919438891557</c:v>
                </c:pt>
                <c:pt idx="246">
                  <c:v>17.566413685284189</c:v>
                </c:pt>
                <c:pt idx="247">
                  <c:v>17.451966336269024</c:v>
                </c:pt>
                <c:pt idx="248">
                  <c:v>17.337660261815216</c:v>
                </c:pt>
                <c:pt idx="249">
                  <c:v>17.223570292824281</c:v>
                </c:pt>
                <c:pt idx="250">
                  <c:v>17.109763932013667</c:v>
                </c:pt>
                <c:pt idx="251">
                  <c:v>16.996301996119239</c:v>
                </c:pt>
                <c:pt idx="252">
                  <c:v>16.883239197615186</c:v>
                </c:pt>
                <c:pt idx="253">
                  <c:v>16.770624672849074</c:v>
                </c:pt>
                <c:pt idx="254">
                  <c:v>16.658502462449473</c:v>
                </c:pt>
                <c:pt idx="255">
                  <c:v>16.546911949024988</c:v>
                </c:pt>
                <c:pt idx="256">
                  <c:v>16.435888256490905</c:v>
                </c:pt>
                <c:pt idx="257">
                  <c:v>16.325462614799292</c:v>
                </c:pt>
                <c:pt idx="258">
                  <c:v>16.215662693383827</c:v>
                </c:pt>
                <c:pt idx="259">
                  <c:v>16.106512906241722</c:v>
                </c:pt>
                <c:pt idx="260">
                  <c:v>15.998034691246865</c:v>
                </c:pt>
                <c:pt idx="261">
                  <c:v>15.890246766008364</c:v>
                </c:pt>
                <c:pt idx="262">
                  <c:v>15.783165362348139</c:v>
                </c:pt>
                <c:pt idx="263">
                  <c:v>15.676804441262796</c:v>
                </c:pt>
                <c:pt idx="264">
                  <c:v>15.571175890052844</c:v>
                </c:pt>
                <c:pt idx="265">
                  <c:v>15.466289703142618</c:v>
                </c:pt>
                <c:pt idx="266">
                  <c:v>15.36215414797236</c:v>
                </c:pt>
                <c:pt idx="267">
                  <c:v>15.258775917218458</c:v>
                </c:pt>
                <c:pt idx="268">
                  <c:v>15.156160268485158</c:v>
                </c:pt>
                <c:pt idx="269">
                  <c:v>15.054311152510259</c:v>
                </c:pt>
                <c:pt idx="270">
                  <c:v>14.953231330836408</c:v>
                </c:pt>
                <c:pt idx="271">
                  <c:v>14.852922483817617</c:v>
                </c:pt>
                <c:pt idx="272">
                  <c:v>14.753385309756181</c:v>
                </c:pt>
                <c:pt idx="273">
                  <c:v>14.654619615897822</c:v>
                </c:pt>
                <c:pt idx="274">
                  <c:v>14.556624401951499</c:v>
                </c:pt>
                <c:pt idx="275">
                  <c:v>14.459397936744429</c:v>
                </c:pt>
                <c:pt idx="276">
                  <c:v>14.362937828571951</c:v>
                </c:pt>
                <c:pt idx="277">
                  <c:v>14.267241089755389</c:v>
                </c:pt>
                <c:pt idx="278">
                  <c:v>14.172304195878407</c:v>
                </c:pt>
                <c:pt idx="279">
                  <c:v>14.078123140133727</c:v>
                </c:pt>
                <c:pt idx="280">
                  <c:v>13.984693483176345</c:v>
                </c:pt>
                <c:pt idx="281">
                  <c:v>13.892010398846846</c:v>
                </c:pt>
                <c:pt idx="282">
                  <c:v>13.800068716098723</c:v>
                </c:pt>
                <c:pt idx="283">
                  <c:v>13.708862957436111</c:v>
                </c:pt>
                <c:pt idx="284">
                  <c:v>13.618387374143534</c:v>
                </c:pt>
                <c:pt idx="285">
                  <c:v>13.528635978566058</c:v>
                </c:pt>
                <c:pt idx="286">
                  <c:v>13.439602573677458</c:v>
                </c:pt>
                <c:pt idx="287">
                  <c:v>13.351280780154539</c:v>
                </c:pt>
                <c:pt idx="288">
                  <c:v>13.263664061158115</c:v>
                </c:pt>
                <c:pt idx="289">
                  <c:v>13.176745745004869</c:v>
                </c:pt>
                <c:pt idx="290">
                  <c:v>13.090519045899551</c:v>
                </c:pt>
                <c:pt idx="291">
                  <c:v>13.004977082883084</c:v>
                </c:pt>
                <c:pt idx="292">
                  <c:v>12.920112897139797</c:v>
                </c:pt>
                <c:pt idx="293">
                  <c:v>12.835919467795359</c:v>
                </c:pt>
                <c:pt idx="294">
                  <c:v>12.752389726326463</c:v>
                </c:pt>
                <c:pt idx="295">
                  <c:v>12.669516569693632</c:v>
                </c:pt>
                <c:pt idx="296">
                  <c:v>12.587292872299496</c:v>
                </c:pt>
                <c:pt idx="297">
                  <c:v>12.505711496866791</c:v>
                </c:pt>
                <c:pt idx="298">
                  <c:v>12.424765304322818</c:v>
                </c:pt>
                <c:pt idx="299">
                  <c:v>12.344447162770066</c:v>
                </c:pt>
                <c:pt idx="300">
                  <c:v>12.26474995561653</c:v>
                </c:pt>
                <c:pt idx="301">
                  <c:v>12.185666588933229</c:v>
                </c:pt>
                <c:pt idx="302">
                  <c:v>12.107189998101241</c:v>
                </c:pt>
                <c:pt idx="303">
                  <c:v>12.02931315380548</c:v>
                </c:pt>
                <c:pt idx="304">
                  <c:v>11.952029067428056</c:v>
                </c:pt>
                <c:pt idx="305">
                  <c:v>11.87533079588974</c:v>
                </c:pt>
                <c:pt idx="306">
                  <c:v>11.799211445984358</c:v>
                </c:pt>
                <c:pt idx="307">
                  <c:v>11.723664178247283</c:v>
                </c:pt>
                <c:pt idx="308">
                  <c:v>11.648682210396084</c:v>
                </c:pt>
                <c:pt idx="309">
                  <c:v>11.574258820378255</c:v>
                </c:pt>
                <c:pt idx="310">
                  <c:v>11.500387349058315</c:v>
                </c:pt>
                <c:pt idx="311">
                  <c:v>11.427061202573999</c:v>
                </c:pt>
                <c:pt idx="312">
                  <c:v>11.354273854388888</c:v>
                </c:pt>
                <c:pt idx="313">
                  <c:v>11.282018847066769</c:v>
                </c:pt>
                <c:pt idx="314">
                  <c:v>11.21028979379094</c:v>
                </c:pt>
                <c:pt idx="315">
                  <c:v>11.139080379649954</c:v>
                </c:pt>
                <c:pt idx="316">
                  <c:v>11.0683843627095</c:v>
                </c:pt>
                <c:pt idx="317">
                  <c:v>10.998195574888728</c:v>
                </c:pt>
                <c:pt idx="318">
                  <c:v>10.928507922657735</c:v>
                </c:pt>
                <c:pt idx="319">
                  <c:v>10.859315387571717</c:v>
                </c:pt>
                <c:pt idx="320">
                  <c:v>10.790612026656119</c:v>
                </c:pt>
                <c:pt idx="321">
                  <c:v>10.722391972655812</c:v>
                </c:pt>
                <c:pt idx="322">
                  <c:v>10.654649434160541</c:v>
                </c:pt>
                <c:pt idx="323">
                  <c:v>10.587378695617801</c:v>
                </c:pt>
                <c:pt idx="324">
                  <c:v>10.52057411724334</c:v>
                </c:pt>
                <c:pt idx="325">
                  <c:v>10.454230134838909</c:v>
                </c:pt>
                <c:pt idx="326">
                  <c:v>10.388341259525953</c:v>
                </c:pt>
                <c:pt idx="327">
                  <c:v>10.322902077403269</c:v>
                </c:pt>
                <c:pt idx="328">
                  <c:v>10.257907249136107</c:v>
                </c:pt>
                <c:pt idx="329">
                  <c:v>10.193351509483517</c:v>
                </c:pt>
                <c:pt idx="330">
                  <c:v>10.129229666770245</c:v>
                </c:pt>
                <c:pt idx="331">
                  <c:v>10.065536602308987</c:v>
                </c:pt>
                <c:pt idx="332">
                  <c:v>10.002267269778276</c:v>
                </c:pt>
                <c:pt idx="333">
                  <c:v>9.9394166945610234</c:v>
                </c:pt>
                <c:pt idx="334">
                  <c:v>9.8769799730481012</c:v>
                </c:pt>
                <c:pt idx="335">
                  <c:v>9.8149522719111797</c:v>
                </c:pt>
                <c:pt idx="336">
                  <c:v>9.7533288273486605</c:v>
                </c:pt>
                <c:pt idx="337">
                  <c:v>9.6921049443081326</c:v>
                </c:pt>
                <c:pt idx="338">
                  <c:v>9.6312759956886342</c:v>
                </c:pt>
                <c:pt idx="339">
                  <c:v>9.5708374215256331</c:v>
                </c:pt>
                <c:pt idx="340">
                  <c:v>9.5107847281614681</c:v>
                </c:pt>
                <c:pt idx="341">
                  <c:v>9.4511134874037079</c:v>
                </c:pt>
                <c:pt idx="342">
                  <c:v>9.3918193356737021</c:v>
                </c:pt>
                <c:pt idx="343">
                  <c:v>9.3328979731473964</c:v>
                </c:pt>
                <c:pt idx="344">
                  <c:v>9.2743451628903752</c:v>
                </c:pt>
                <c:pt idx="345">
                  <c:v>9.2161567299887821</c:v>
                </c:pt>
                <c:pt idx="346">
                  <c:v>9.1583285606777523</c:v>
                </c:pt>
                <c:pt idx="347">
                  <c:v>9.1008566014687968</c:v>
                </c:pt>
                <c:pt idx="348">
                  <c:v>9.0437368582774962</c:v>
                </c:pt>
                <c:pt idx="349">
                  <c:v>8.9869653955525717</c:v>
                </c:pt>
                <c:pt idx="350">
                  <c:v>8.93053833540759</c:v>
                </c:pt>
                <c:pt idx="351">
                  <c:v>8.874451856756167</c:v>
                </c:pt>
                <c:pt idx="352">
                  <c:v>8.818702194451582</c:v>
                </c:pt>
                <c:pt idx="353">
                  <c:v>8.7632856384316753</c:v>
                </c:pt>
                <c:pt idx="354">
                  <c:v>8.7081985328696039</c:v>
                </c:pt>
                <c:pt idx="355">
                  <c:v>8.6534372753313189</c:v>
                </c:pt>
                <c:pt idx="356">
                  <c:v>8.5989983159401024</c:v>
                </c:pt>
                <c:pt idx="357">
                  <c:v>8.5448781565489025</c:v>
                </c:pt>
                <c:pt idx="358">
                  <c:v>8.4910733499207822</c:v>
                </c:pt>
                <c:pt idx="359">
                  <c:v>8.4375804989179279</c:v>
                </c:pt>
                <c:pt idx="360">
                  <c:v>8.3843962556996328</c:v>
                </c:pt>
                <c:pt idx="361">
                  <c:v>8.3315173209294464</c:v>
                </c:pt>
                <c:pt idx="362">
                  <c:v>8.2789404429919315</c:v>
                </c:pt>
                <c:pt idx="363">
                  <c:v>8.2266624172190674</c:v>
                </c:pt>
                <c:pt idx="364">
                  <c:v>8.174680085126667</c:v>
                </c:pt>
                <c:pt idx="365">
                  <c:v>8.1229903336608693</c:v>
                </c:pt>
                <c:pt idx="366">
                  <c:v>8.0715900944548871</c:v>
                </c:pt>
                <c:pt idx="367">
                  <c:v>8.0204763430961137</c:v>
                </c:pt>
                <c:pt idx="368">
                  <c:v>7.9696460984036541</c:v>
                </c:pt>
                <c:pt idx="369">
                  <c:v>7.9190964217163815</c:v>
                </c:pt>
                <c:pt idx="370">
                  <c:v>7.8688244161915168</c:v>
                </c:pt>
                <c:pt idx="371">
                  <c:v>7.8188272261137906</c:v>
                </c:pt>
                <c:pt idx="372">
                  <c:v>7.7691020362151475</c:v>
                </c:pt>
                <c:pt idx="373">
                  <c:v>7.7196460710050454</c:v>
                </c:pt>
                <c:pt idx="374">
                  <c:v>7.6704565941112595</c:v>
                </c:pt>
                <c:pt idx="375">
                  <c:v>7.6215309076312092</c:v>
                </c:pt>
                <c:pt idx="376">
                  <c:v>7.5728663514937002</c:v>
                </c:pt>
                <c:pt idx="377">
                  <c:v>7.5244603028310788</c:v>
                </c:pt>
                <c:pt idx="378">
                  <c:v>7.4763101753617045</c:v>
                </c:pt>
                <c:pt idx="379">
                  <c:v>7.4284134187826112</c:v>
                </c:pt>
                <c:pt idx="380">
                  <c:v>7.3807675181724015</c:v>
                </c:pt>
                <c:pt idx="381">
                  <c:v>7.3333699934041157</c:v>
                </c:pt>
                <c:pt idx="382">
                  <c:v>7.2862183985681126</c:v>
                </c:pt>
                <c:pt idx="383">
                  <c:v>7.2393103214047896</c:v>
                </c:pt>
                <c:pt idx="384">
                  <c:v>7.1926433827470193</c:v>
                </c:pt>
                <c:pt idx="385">
                  <c:v>7.146215235972261</c:v>
                </c:pt>
                <c:pt idx="386">
                  <c:v>7.1000235664641362</c:v>
                </c:pt>
                <c:pt idx="387">
                  <c:v>7.0540660910834401</c:v>
                </c:pt>
                <c:pt idx="388">
                  <c:v>7.0083405576483591</c:v>
                </c:pt>
                <c:pt idx="389">
                  <c:v>6.9628447444239008</c:v>
                </c:pt>
                <c:pt idx="390">
                  <c:v>6.9175764596202827</c:v>
                </c:pt>
                <c:pt idx="391">
                  <c:v>6.8725335409002053</c:v>
                </c:pt>
                <c:pt idx="392">
                  <c:v>6.8277138548949079</c:v>
                </c:pt>
                <c:pt idx="393">
                  <c:v>6.7831152967288304</c:v>
                </c:pt>
                <c:pt idx="394">
                  <c:v>6.7387357895527416</c:v>
                </c:pt>
                <c:pt idx="395">
                  <c:v>6.694573284085255</c:v>
                </c:pt>
                <c:pt idx="396">
                  <c:v>6.650625758162553</c:v>
                </c:pt>
                <c:pt idx="397">
                  <c:v>6.6068912162961899</c:v>
                </c:pt>
                <c:pt idx="398">
                  <c:v>6.5633676892388753</c:v>
                </c:pt>
                <c:pt idx="399">
                  <c:v>6.5200532335580617</c:v>
                </c:pt>
                <c:pt idx="400">
                  <c:v>6.4769459312172355</c:v>
                </c:pt>
                <c:pt idx="401">
                  <c:v>6.43404388916478</c:v>
                </c:pt>
                <c:pt idx="402">
                  <c:v>6.391345238930243</c:v>
                </c:pt>
                <c:pt idx="403">
                  <c:v>6.3488481362279323</c:v>
                </c:pt>
                <c:pt idx="404">
                  <c:v>6.3065507605676974</c:v>
                </c:pt>
                <c:pt idx="405">
                  <c:v>6.2644513148727219</c:v>
                </c:pt>
                <c:pt idx="406">
                  <c:v>6.2225480251042793</c:v>
                </c:pt>
                <c:pt idx="407">
                  <c:v>6.1808391398932621</c:v>
                </c:pt>
                <c:pt idx="408">
                  <c:v>6.1393229301784018</c:v>
                </c:pt>
                <c:pt idx="409">
                  <c:v>6.0979976888510343</c:v>
                </c:pt>
                <c:pt idx="410">
                  <c:v>6.0568617304063288</c:v>
                </c:pt>
                <c:pt idx="411">
                  <c:v>6.015913390600792</c:v>
                </c:pt>
                <c:pt idx="412">
                  <c:v>5.9751510261160021</c:v>
                </c:pt>
                <c:pt idx="413">
                  <c:v>5.9345730142284294</c:v>
                </c:pt>
                <c:pt idx="414">
                  <c:v>5.8941777524852128</c:v>
                </c:pt>
                <c:pt idx="415">
                  <c:v>5.8539636583858199</c:v>
                </c:pt>
                <c:pt idx="416">
                  <c:v>5.8139291690694321</c:v>
                </c:pt>
                <c:pt idx="417">
                  <c:v>5.7740727410079895</c:v>
                </c:pt>
                <c:pt idx="418">
                  <c:v>5.7343928497047836</c:v>
                </c:pt>
                <c:pt idx="419">
                  <c:v>5.6948879893984481</c:v>
                </c:pt>
                <c:pt idx="420">
                  <c:v>5.6555566727723026</c:v>
                </c:pt>
                <c:pt idx="421">
                  <c:v>5.6163974306689104</c:v>
                </c:pt>
                <c:pt idx="422">
                  <c:v>5.5774088118097858</c:v>
                </c:pt>
                <c:pt idx="423">
                  <c:v>5.5385893825200894</c:v>
                </c:pt>
                <c:pt idx="424">
                  <c:v>5.4999377264583069</c:v>
                </c:pt>
                <c:pt idx="425">
                  <c:v>5.4614524443507069</c:v>
                </c:pt>
                <c:pt idx="426">
                  <c:v>5.4231321537305934</c:v>
                </c:pt>
                <c:pt idx="427">
                  <c:v>5.3849754886821897</c:v>
                </c:pt>
                <c:pt idx="428">
                  <c:v>5.3469810995890903</c:v>
                </c:pt>
                <c:pt idx="429">
                  <c:v>5.3091476528871731</c:v>
                </c:pt>
                <c:pt idx="430">
                  <c:v>5.2714738308219298</c:v>
                </c:pt>
                <c:pt idx="431">
                  <c:v>5.2339583312100775</c:v>
                </c:pt>
                <c:pt idx="432">
                  <c:v>5.1965998672053946</c:v>
                </c:pt>
                <c:pt idx="433">
                  <c:v>5.1593971670686987</c:v>
                </c:pt>
                <c:pt idx="434">
                  <c:v>5.1223489739419126</c:v>
                </c:pt>
                <c:pt idx="435">
                  <c:v>5.0854540456260366</c:v>
                </c:pt>
                <c:pt idx="436">
                  <c:v>5.0487111543630974</c:v>
                </c:pt>
                <c:pt idx="437">
                  <c:v>5.012119086621909</c:v>
                </c:pt>
                <c:pt idx="438">
                  <c:v>4.9756766428875467</c:v>
                </c:pt>
                <c:pt idx="439">
                  <c:v>4.939382637454564</c:v>
                </c:pt>
                <c:pt idx="440">
                  <c:v>4.9032358982237643</c:v>
                </c:pt>
                <c:pt idx="441">
                  <c:v>4.8672352665025436</c:v>
                </c:pt>
                <c:pt idx="442">
                  <c:v>4.8313795968087145</c:v>
                </c:pt>
                <c:pt idx="443">
                  <c:v>4.7956677566776857</c:v>
                </c:pt>
                <c:pt idx="444">
                  <c:v>4.7600986264730345</c:v>
                </c:pt>
                <c:pt idx="445">
                  <c:v>4.7246710992003287</c:v>
                </c:pt>
                <c:pt idx="446">
                  <c:v>4.6893840803241673</c:v>
                </c:pt>
                <c:pt idx="447">
                  <c:v>4.6542364875883413</c:v>
                </c:pt>
                <c:pt idx="448">
                  <c:v>4.619227250839133</c:v>
                </c:pt>
                <c:pt idx="449">
                  <c:v>4.5843553118516081</c:v>
                </c:pt>
                <c:pt idx="450">
                  <c:v>4.549619624158888</c:v>
                </c:pt>
                <c:pt idx="451">
                  <c:v>4.5150191528843466</c:v>
                </c:pt>
                <c:pt idx="452">
                  <c:v>4.4805528745766292</c:v>
                </c:pt>
                <c:pt idx="453">
                  <c:v>4.4462197770475305</c:v>
                </c:pt>
                <c:pt idx="454">
                  <c:v>4.4120188592125622</c:v>
                </c:pt>
                <c:pt idx="455">
                  <c:v>4.3779491309342786</c:v>
                </c:pt>
                <c:pt idx="456">
                  <c:v>4.3440096128681791</c:v>
                </c:pt>
                <c:pt idx="457">
                  <c:v>4.3101993363112703</c:v>
                </c:pt>
                <c:pt idx="458">
                  <c:v>4.2765173430531265</c:v>
                </c:pt>
                <c:pt idx="459">
                  <c:v>4.24296268522947</c:v>
                </c:pt>
                <c:pt idx="460">
                  <c:v>4.2095344251781901</c:v>
                </c:pt>
                <c:pt idx="461">
                  <c:v>4.1762316352977766</c:v>
                </c:pt>
                <c:pt idx="462">
                  <c:v>4.1430533979080995</c:v>
                </c:pt>
                <c:pt idx="463">
                  <c:v>4.1099988051135101</c:v>
                </c:pt>
                <c:pt idx="464">
                  <c:v>4.0770669586681967</c:v>
                </c:pt>
                <c:pt idx="465">
                  <c:v>4.0442569698437705</c:v>
                </c:pt>
                <c:pt idx="466">
                  <c:v>4.0115679592990672</c:v>
                </c:pt>
                <c:pt idx="467">
                  <c:v>3.9789990569520359</c:v>
                </c:pt>
                <c:pt idx="468">
                  <c:v>3.9465494018537743</c:v>
                </c:pt>
                <c:pt idx="469">
                  <c:v>3.9142181420646125</c:v>
                </c:pt>
                <c:pt idx="470">
                  <c:v>3.8820044345322118</c:v>
                </c:pt>
                <c:pt idx="471">
                  <c:v>3.8499074449716786</c:v>
                </c:pt>
                <c:pt idx="472">
                  <c:v>3.8179263477475822</c:v>
                </c:pt>
                <c:pt idx="473">
                  <c:v>3.7860603257579397</c:v>
                </c:pt>
                <c:pt idx="474">
                  <c:v>3.7543085703200365</c:v>
                </c:pt>
                <c:pt idx="475">
                  <c:v>3.7226702810581234</c:v>
                </c:pt>
                <c:pt idx="476">
                  <c:v>3.6911446657928777</c:v>
                </c:pt>
                <c:pt idx="477">
                  <c:v>3.6597309404326901</c:v>
                </c:pt>
                <c:pt idx="478">
                  <c:v>3.6284283288666619</c:v>
                </c:pt>
                <c:pt idx="479">
                  <c:v>3.5972360628593245</c:v>
                </c:pt>
                <c:pt idx="480">
                  <c:v>3.5661533819470295</c:v>
                </c:pt>
                <c:pt idx="481">
                  <c:v>3.5351795333360054</c:v>
                </c:pt>
                <c:pt idx="482">
                  <c:v>3.5043137718020083</c:v>
                </c:pt>
                <c:pt idx="483">
                  <c:v>3.4735553595915802</c:v>
                </c:pt>
                <c:pt idx="484">
                  <c:v>3.4429035663248557</c:v>
                </c:pt>
                <c:pt idx="485">
                  <c:v>3.4123576688999115</c:v>
                </c:pt>
                <c:pt idx="486">
                  <c:v>3.3819169513985869</c:v>
                </c:pt>
                <c:pt idx="487">
                  <c:v>3.351580704993852</c:v>
                </c:pt>
                <c:pt idx="488">
                  <c:v>3.32134822785852</c:v>
                </c:pt>
                <c:pt idx="489">
                  <c:v>3.2912188250754868</c:v>
                </c:pt>
                <c:pt idx="490">
                  <c:v>3.2611918085493037</c:v>
                </c:pt>
                <c:pt idx="491">
                  <c:v>3.2312664969191363</c:v>
                </c:pt>
                <c:pt idx="492">
                  <c:v>3.2014422154730866</c:v>
                </c:pt>
                <c:pt idx="493">
                  <c:v>3.1717182960638151</c:v>
                </c:pt>
                <c:pt idx="494">
                  <c:v>3.1420940770254875</c:v>
                </c:pt>
                <c:pt idx="495">
                  <c:v>3.1125689030919839</c:v>
                </c:pt>
                <c:pt idx="496">
                  <c:v>3.0831421253163467</c:v>
                </c:pt>
                <c:pt idx="497">
                  <c:v>3.0538131009915039</c:v>
                </c:pt>
                <c:pt idx="498">
                  <c:v>3.0245811935721489</c:v>
                </c:pt>
                <c:pt idx="499">
                  <c:v>2.995445772597864</c:v>
                </c:pt>
                <c:pt idx="500">
                  <c:v>2.966406213617347</c:v>
                </c:pt>
                <c:pt idx="501">
                  <c:v>2.9374618981138516</c:v>
                </c:pt>
                <c:pt idx="502">
                  <c:v>2.9086122134317067</c:v>
                </c:pt>
                <c:pt idx="503">
                  <c:v>2.8798565527039628</c:v>
                </c:pt>
                <c:pt idx="504">
                  <c:v>2.8511943147811221</c:v>
                </c:pt>
                <c:pt idx="505">
                  <c:v>2.8226249041609304</c:v>
                </c:pt>
                <c:pt idx="506">
                  <c:v>2.7941477309192377</c:v>
                </c:pt>
                <c:pt idx="507">
                  <c:v>2.7657622106418693</c:v>
                </c:pt>
                <c:pt idx="508">
                  <c:v>2.7374677643575112</c:v>
                </c:pt>
                <c:pt idx="509">
                  <c:v>2.7092638184716216</c:v>
                </c:pt>
                <c:pt idx="510">
                  <c:v>2.6811498047012834</c:v>
                </c:pt>
                <c:pt idx="511">
                  <c:v>2.6531251600110339</c:v>
                </c:pt>
                <c:pt idx="512">
                  <c:v>2.6251893265496431</c:v>
                </c:pt>
                <c:pt idx="513">
                  <c:v>2.5973417515878241</c:v>
                </c:pt>
                <c:pt idx="514">
                  <c:v>2.569581887456847</c:v>
                </c:pt>
                <c:pt idx="515">
                  <c:v>2.5419091914880547</c:v>
                </c:pt>
                <c:pt idx="516">
                  <c:v>2.514323125953259</c:v>
                </c:pt>
                <c:pt idx="517">
                  <c:v>2.4868231580060116</c:v>
                </c:pt>
                <c:pt idx="518">
                  <c:v>2.4594087596237166</c:v>
                </c:pt>
                <c:pt idx="519">
                  <c:v>2.4320794075505971</c:v>
                </c:pt>
                <c:pt idx="520">
                  <c:v>2.4048345832414668</c:v>
                </c:pt>
                <c:pt idx="521">
                  <c:v>2.3776737728063058</c:v>
                </c:pt>
                <c:pt idx="522">
                  <c:v>2.3505964669556905</c:v>
                </c:pt>
                <c:pt idx="523">
                  <c:v>2.3236021609469173</c:v>
                </c:pt>
                <c:pt idx="524">
                  <c:v>2.2966903545309769</c:v>
                </c:pt>
                <c:pt idx="525">
                  <c:v>2.2698605519002153</c:v>
                </c:pt>
                <c:pt idx="526">
                  <c:v>2.2431122616368198</c:v>
                </c:pt>
                <c:pt idx="527">
                  <c:v>2.2164449966619606</c:v>
                </c:pt>
                <c:pt idx="528">
                  <c:v>2.1898582741856929</c:v>
                </c:pt>
                <c:pt idx="529">
                  <c:v>2.163351615657553</c:v>
                </c:pt>
                <c:pt idx="530">
                  <c:v>2.1369245467178635</c:v>
                </c:pt>
                <c:pt idx="531">
                  <c:v>2.110576597149723</c:v>
                </c:pt>
                <c:pt idx="532">
                  <c:v>2.0843073008316333</c:v>
                </c:pt>
                <c:pt idx="533">
                  <c:v>2.0581161956908516</c:v>
                </c:pt>
                <c:pt idx="534">
                  <c:v>2.0320028236573422</c:v>
                </c:pt>
                <c:pt idx="535">
                  <c:v>2.0059667306183742</c:v>
                </c:pt>
                <c:pt idx="536">
                  <c:v>1.9800074663738005</c:v>
                </c:pt>
                <c:pt idx="537">
                  <c:v>1.9541245845918789</c:v>
                </c:pt>
                <c:pt idx="538">
                  <c:v>1.9283176427657684</c:v>
                </c:pt>
                <c:pt idx="539">
                  <c:v>1.9025862021705839</c:v>
                </c:pt>
                <c:pt idx="540">
                  <c:v>1.8769298278210753</c:v>
                </c:pt>
                <c:pt idx="541">
                  <c:v>1.8513480884298603</c:v>
                </c:pt>
                <c:pt idx="542">
                  <c:v>1.8258405563662321</c:v>
                </c:pt>
                <c:pt idx="543">
                  <c:v>1.8004068076155582</c:v>
                </c:pt>
                <c:pt idx="544">
                  <c:v>1.775046421739181</c:v>
                </c:pt>
                <c:pt idx="545">
                  <c:v>1.7497589818349202</c:v>
                </c:pt>
                <c:pt idx="546">
                  <c:v>1.7245440744980658</c:v>
                </c:pt>
                <c:pt idx="547">
                  <c:v>1.6994012897829223</c:v>
                </c:pt>
                <c:pt idx="548">
                  <c:v>1.6743302211648579</c:v>
                </c:pt>
                <c:pt idx="549">
                  <c:v>1.6493304655028953</c:v>
                </c:pt>
                <c:pt idx="550">
                  <c:v>1.6244016230027514</c:v>
                </c:pt>
                <c:pt idx="551">
                  <c:v>1.5995432971804211</c:v>
                </c:pt>
                <c:pt idx="552">
                  <c:v>1.5747550948262288</c:v>
                </c:pt>
                <c:pt idx="553">
                  <c:v>1.5500366259693423</c:v>
                </c:pt>
                <c:pt idx="554">
                  <c:v>1.52538750384281</c:v>
                </c:pt>
                <c:pt idx="555">
                  <c:v>1.5008073448489898</c:v>
                </c:pt>
                <c:pt idx="556">
                  <c:v>1.4762957685254929</c:v>
                </c:pt>
                <c:pt idx="557">
                  <c:v>1.4518523975115596</c:v>
                </c:pt>
                <c:pt idx="558">
                  <c:v>1.4274768575148737</c:v>
                </c:pt>
                <c:pt idx="559">
                  <c:v>1.4031687772788146</c:v>
                </c:pt>
                <c:pt idx="560">
                  <c:v>1.3789277885501392</c:v>
                </c:pt>
                <c:pt idx="561">
                  <c:v>1.3547535260470882</c:v>
                </c:pt>
                <c:pt idx="562">
                  <c:v>1.3306456274279177</c:v>
                </c:pt>
                <c:pt idx="563">
                  <c:v>1.3066037332598146</c:v>
                </c:pt>
                <c:pt idx="564">
                  <c:v>1.2826274869882366</c:v>
                </c:pt>
                <c:pt idx="565">
                  <c:v>1.2587165349066574</c:v>
                </c:pt>
                <c:pt idx="566">
                  <c:v>1.2348705261266759</c:v>
                </c:pt>
                <c:pt idx="567">
                  <c:v>1.211089112548545</c:v>
                </c:pt>
                <c:pt idx="568">
                  <c:v>1.1873719488320305</c:v>
                </c:pt>
                <c:pt idx="569">
                  <c:v>1.1637186923676945</c:v>
                </c:pt>
                <c:pt idx="570">
                  <c:v>1.1401290032485265</c:v>
                </c:pt>
                <c:pt idx="571">
                  <c:v>1.1166025442419389</c:v>
                </c:pt>
                <c:pt idx="572">
                  <c:v>1.0931389807620941</c:v>
                </c:pt>
                <c:pt idx="573">
                  <c:v>1.069737980842647</c:v>
                </c:pt>
                <c:pt idx="574">
                  <c:v>1.0463992151097528</c:v>
                </c:pt>
                <c:pt idx="575">
                  <c:v>1.0231223567554832</c:v>
                </c:pt>
                <c:pt idx="576">
                  <c:v>0.99990708151154006</c:v>
                </c:pt>
                <c:pt idx="577">
                  <c:v>0.97675306762332503</c:v>
                </c:pt>
                <c:pt idx="578">
                  <c:v>0.95365999582430749</c:v>
                </c:pt>
                <c:pt idx="579">
                  <c:v>0.93062754931074121</c:v>
                </c:pt>
                <c:pt idx="580">
                  <c:v>0.9076554137166819</c:v>
                </c:pt>
                <c:pt idx="581">
                  <c:v>0.88474327708931577</c:v>
                </c:pt>
                <c:pt idx="582">
                  <c:v>0.86189082986461218</c:v>
                </c:pt>
                <c:pt idx="583">
                  <c:v>0.83909776484325316</c:v>
                </c:pt>
                <c:pt idx="584">
                  <c:v>0.81636377716688735</c:v>
                </c:pt>
                <c:pt idx="585">
                  <c:v>0.79368856429465784</c:v>
                </c:pt>
                <c:pt idx="586">
                  <c:v>0.77107182598003621</c:v>
                </c:pt>
                <c:pt idx="587">
                  <c:v>0.74851326424792142</c:v>
                </c:pt>
                <c:pt idx="588">
                  <c:v>0.72601258337205421</c:v>
                </c:pt>
                <c:pt idx="589">
                  <c:v>0.70356948985265</c:v>
                </c:pt>
                <c:pt idx="590">
                  <c:v>0.68118369239438237</c:v>
                </c:pt>
                <c:pt idx="591">
                  <c:v>0.65885490188457485</c:v>
                </c:pt>
                <c:pt idx="592">
                  <c:v>0.6365828313716797</c:v>
                </c:pt>
                <c:pt idx="593">
                  <c:v>0.61436719604401646</c:v>
                </c:pt>
                <c:pt idx="594">
                  <c:v>0.59220771320876842</c:v>
                </c:pt>
                <c:pt idx="595">
                  <c:v>0.57010410227124708</c:v>
                </c:pt>
                <c:pt idx="596">
                  <c:v>0.54805608471438683</c:v>
                </c:pt>
                <c:pt idx="597">
                  <c:v>0.52606338407847708</c:v>
                </c:pt>
                <c:pt idx="598">
                  <c:v>0.50412572594117977</c:v>
                </c:pt>
                <c:pt idx="599">
                  <c:v>0.48224283789774525</c:v>
                </c:pt>
                <c:pt idx="600">
                  <c:v>0.46041444954147992</c:v>
                </c:pt>
                <c:pt idx="601">
                  <c:v>0.4386402924444785</c:v>
                </c:pt>
                <c:pt idx="602">
                  <c:v>0.41692010013849701</c:v>
                </c:pt>
                <c:pt idx="603">
                  <c:v>0.3952536080961695</c:v>
                </c:pt>
                <c:pt idx="604">
                  <c:v>0.37364055371236693</c:v>
                </c:pt>
                <c:pt idx="605">
                  <c:v>0.35208067628577694</c:v>
                </c:pt>
                <c:pt idx="606">
                  <c:v>-0.66336902842679302</c:v>
                </c:pt>
                <c:pt idx="607">
                  <c:v>-1.5731084353624583</c:v>
                </c:pt>
                <c:pt idx="608">
                  <c:v>-2.396989610228502</c:v>
                </c:pt>
                <c:pt idx="609">
                  <c:v>-3.1497722260923018</c:v>
                </c:pt>
                <c:pt idx="610">
                  <c:v>-3.8427226950098707</c:v>
                </c:pt>
                <c:pt idx="611">
                  <c:v>-4.4846330473810383</c:v>
                </c:pt>
                <c:pt idx="612">
                  <c:v>-5.0824944675454118</c:v>
                </c:pt>
                <c:pt idx="613">
                  <c:v>-5.6419567243343245</c:v>
                </c:pt>
                <c:pt idx="614">
                  <c:v>-6.1676501333928506</c:v>
                </c:pt>
                <c:pt idx="615">
                  <c:v>-6.663416542475086</c:v>
                </c:pt>
                <c:pt idx="616">
                  <c:v>-7.1324784940104289</c:v>
                </c:pt>
                <c:pt idx="617">
                  <c:v>-7.5775653866903259</c:v>
                </c:pt>
                <c:pt idx="618">
                  <c:v>-7.749450425150842</c:v>
                </c:pt>
                <c:pt idx="619">
                  <c:v>-7.9180033458245642</c:v>
                </c:pt>
                <c:pt idx="620">
                  <c:v>-8.0833510333647922</c:v>
                </c:pt>
                <c:pt idx="621">
                  <c:v>-8.245613263760422</c:v>
                </c:pt>
                <c:pt idx="622">
                  <c:v>-8.4049032256088374</c:v>
                </c:pt>
                <c:pt idx="623">
                  <c:v>-8.5613279944687246</c:v>
                </c:pt>
                <c:pt idx="624">
                  <c:v>-8.7149889652710719</c:v>
                </c:pt>
                <c:pt idx="625">
                  <c:v>-8.8659822471611793</c:v>
                </c:pt>
                <c:pt idx="626">
                  <c:v>-9.0143990246216195</c:v>
                </c:pt>
                <c:pt idx="627">
                  <c:v>-9.1603258882736291</c:v>
                </c:pt>
                <c:pt idx="628">
                  <c:v>-9.3038451383615097</c:v>
                </c:pt>
                <c:pt idx="629">
                  <c:v>-9.4450350635830542</c:v>
                </c:pt>
                <c:pt idx="630">
                  <c:v>-9.5839701976308884</c:v>
                </c:pt>
                <c:pt idx="631">
                  <c:v>-9.7207215555491118</c:v>
                </c:pt>
                <c:pt idx="632">
                  <c:v>-9.8553568517815755</c:v>
                </c:pt>
                <c:pt idx="633">
                  <c:v>-9.9879407015875152</c:v>
                </c:pt>
                <c:pt idx="634">
                  <c:v>-10.11853480732421</c:v>
                </c:pt>
                <c:pt idx="635">
                  <c:v>-10.247198130940792</c:v>
                </c:pt>
                <c:pt idx="636">
                  <c:v>-10.373987053890211</c:v>
                </c:pt>
                <c:pt idx="637">
                  <c:v>-10.498955525544659</c:v>
                </c:pt>
                <c:pt idx="638">
                  <c:v>-10.622155201092379</c:v>
                </c:pt>
                <c:pt idx="639">
                  <c:v>-10.743635569797764</c:v>
                </c:pt>
                <c:pt idx="640">
                  <c:v>-10.863444074421844</c:v>
                </c:pt>
                <c:pt idx="641">
                  <c:v>-10.981626222524298</c:v>
                </c:pt>
                <c:pt idx="642">
                  <c:v>-11.098225690300271</c:v>
                </c:pt>
                <c:pt idx="643">
                  <c:v>-11.213284419545047</c:v>
                </c:pt>
                <c:pt idx="644">
                  <c:v>-11.326842708285074</c:v>
                </c:pt>
                <c:pt idx="645">
                  <c:v>-11.438939295565515</c:v>
                </c:pt>
                <c:pt idx="646">
                  <c:v>-11.549611440840557</c:v>
                </c:pt>
                <c:pt idx="647">
                  <c:v>-11.658894998373679</c:v>
                </c:pt>
                <c:pt idx="648">
                  <c:v>-11.766824487019502</c:v>
                </c:pt>
                <c:pt idx="649">
                  <c:v>-11.873433155727113</c:v>
                </c:pt>
                <c:pt idx="650">
                  <c:v>-11.978753045075711</c:v>
                </c:pt>
                <c:pt idx="651">
                  <c:v>-12.082815045127685</c:v>
                </c:pt>
                <c:pt idx="652">
                  <c:v>-12.185648949860292</c:v>
                </c:pt>
                <c:pt idx="653">
                  <c:v>-12.287283508416047</c:v>
                </c:pt>
                <c:pt idx="654">
                  <c:v>-12.38774647339223</c:v>
                </c:pt>
                <c:pt idx="655">
                  <c:v>-12.487064646372561</c:v>
                </c:pt>
                <c:pt idx="656">
                  <c:v>-12.58526392088778</c:v>
                </c:pt>
                <c:pt idx="657">
                  <c:v>-12.682369322977557</c:v>
                </c:pt>
                <c:pt idx="658">
                  <c:v>-12.778405049512521</c:v>
                </c:pt>
                <c:pt idx="659">
                  <c:v>-12.87339450442331</c:v>
                </c:pt>
                <c:pt idx="660">
                  <c:v>-12.9673603329723</c:v>
                </c:pt>
                <c:pt idx="661">
                  <c:v>-13.060324454193557</c:v>
                </c:pt>
                <c:pt idx="662">
                  <c:v>-13.15230809161725</c:v>
                </c:pt>
                <c:pt idx="663">
                  <c:v>-13.243331802386241</c:v>
                </c:pt>
                <c:pt idx="664">
                  <c:v>-13.333415504864812</c:v>
                </c:pt>
                <c:pt idx="665">
                  <c:v>-13.422578504832233</c:v>
                </c:pt>
                <c:pt idx="666">
                  <c:v>-13.51083952034735</c:v>
                </c:pt>
                <c:pt idx="667">
                  <c:v>-13.598216705364305</c:v>
                </c:pt>
              </c:numCache>
            </c:numRef>
          </c:yVal>
          <c:smooth val="1"/>
          <c:extLst>
            <c:ext xmlns:c16="http://schemas.microsoft.com/office/drawing/2014/chart" uri="{C3380CC4-5D6E-409C-BE32-E72D297353CC}">
              <c16:uniqueId val="{00000000-9850-4490-A21B-D21557D93B50}"/>
            </c:ext>
          </c:extLst>
        </c:ser>
        <c:dLbls>
          <c:showLegendKey val="0"/>
          <c:showVal val="0"/>
          <c:showCatName val="0"/>
          <c:showSerName val="0"/>
          <c:showPercent val="0"/>
          <c:showBubbleSize val="0"/>
        </c:dLbls>
        <c:axId val="151773952"/>
        <c:axId val="151775872"/>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-191.45381318918319</c:v>
                </c:pt>
                <c:pt idx="1">
                  <c:v>-202.0509692019412</c:v>
                </c:pt>
                <c:pt idx="2">
                  <c:v>-211.26533771318844</c:v>
                </c:pt>
                <c:pt idx="3">
                  <c:v>-218.96625252571681</c:v>
                </c:pt>
                <c:pt idx="4">
                  <c:v>-225.27891349529415</c:v>
                </c:pt>
                <c:pt idx="5">
                  <c:v>-230.42679986920336</c:v>
                </c:pt>
                <c:pt idx="6">
                  <c:v>-234.63834727498806</c:v>
                </c:pt>
                <c:pt idx="7">
                  <c:v>-238.11003971366998</c:v>
                </c:pt>
                <c:pt idx="8">
                  <c:v>-240.99904941978454</c:v>
                </c:pt>
                <c:pt idx="9">
                  <c:v>-243.42728040183667</c:v>
                </c:pt>
                <c:pt idx="10">
                  <c:v>-255.42001555104747</c:v>
                </c:pt>
                <c:pt idx="11">
                  <c:v>-259.54407542203472</c:v>
                </c:pt>
                <c:pt idx="12">
                  <c:v>-261.46338309811915</c:v>
                </c:pt>
                <c:pt idx="13">
                  <c:v>-262.47386971600258</c:v>
                </c:pt>
                <c:pt idx="14">
                  <c:v>-263.02422948273249</c:v>
                </c:pt>
                <c:pt idx="15">
                  <c:v>-263.30997890643715</c:v>
                </c:pt>
                <c:pt idx="16">
                  <c:v>-263.42975027623487</c:v>
                </c:pt>
                <c:pt idx="17">
                  <c:v>-263.43863619347718</c:v>
                </c:pt>
                <c:pt idx="18">
                  <c:v>-263.36981101615834</c:v>
                </c:pt>
                <c:pt idx="19">
                  <c:v>-260.97352208592349</c:v>
                </c:pt>
                <c:pt idx="20">
                  <c:v>-257.66114606119356</c:v>
                </c:pt>
                <c:pt idx="21">
                  <c:v>-254.14589787948114</c:v>
                </c:pt>
                <c:pt idx="22">
                  <c:v>-250.57833460167825</c:v>
                </c:pt>
                <c:pt idx="23">
                  <c:v>-247.01449787070254</c:v>
                </c:pt>
                <c:pt idx="24">
                  <c:v>-243.4828181620943</c:v>
                </c:pt>
                <c:pt idx="25">
                  <c:v>-240.00079470477715</c:v>
                </c:pt>
                <c:pt idx="26">
                  <c:v>-236.58053195142165</c:v>
                </c:pt>
                <c:pt idx="27">
                  <c:v>-233.23095221825784</c:v>
                </c:pt>
                <c:pt idx="28">
                  <c:v>-217.72890966703611</c:v>
                </c:pt>
                <c:pt idx="29">
                  <c:v>-204.48960165634199</c:v>
                </c:pt>
                <c:pt idx="30">
                  <c:v>-193.44637874504159</c:v>
                </c:pt>
                <c:pt idx="31">
                  <c:v>-184.34000829434282</c:v>
                </c:pt>
                <c:pt idx="32">
                  <c:v>-176.86311481799072</c:v>
                </c:pt>
                <c:pt idx="33">
                  <c:v>-170.72650913611011</c:v>
                </c:pt>
                <c:pt idx="34">
                  <c:v>-165.68233613812185</c:v>
                </c:pt>
                <c:pt idx="35">
                  <c:v>-161.52716888408605</c:v>
                </c:pt>
                <c:pt idx="36">
                  <c:v>-158.09734845751211</c:v>
                </c:pt>
                <c:pt idx="37">
                  <c:v>-155.26222876817536</c:v>
                </c:pt>
                <c:pt idx="38">
                  <c:v>-152.91762054148501</c:v>
                </c:pt>
                <c:pt idx="39">
                  <c:v>-150.98019539656505</c:v>
                </c:pt>
                <c:pt idx="40">
                  <c:v>-149.38297211401249</c:v>
                </c:pt>
                <c:pt idx="41">
                  <c:v>-148.07177330524169</c:v>
                </c:pt>
                <c:pt idx="42">
                  <c:v>-147.00247858907156</c:v>
                </c:pt>
                <c:pt idx="43">
                  <c:v>-146.13890493609225</c:v>
                </c:pt>
                <c:pt idx="44">
                  <c:v>-145.45117086323108</c:v>
                </c:pt>
                <c:pt idx="45">
                  <c:v>-144.91443042861869</c:v>
                </c:pt>
                <c:pt idx="46">
                  <c:v>-144.50788898595866</c:v>
                </c:pt>
                <c:pt idx="47">
                  <c:v>-144.21403375726118</c:v>
                </c:pt>
                <c:pt idx="48">
                  <c:v>-144.01802866913835</c:v>
                </c:pt>
                <c:pt idx="49">
                  <c:v>-143.90723534313992</c:v>
                </c:pt>
                <c:pt idx="50">
                  <c:v>-143.87083147817904</c:v>
                </c:pt>
                <c:pt idx="51">
                  <c:v>-143.89950485107869</c:v>
                </c:pt>
                <c:pt idx="52">
                  <c:v>-143.98520638110705</c:v>
                </c:pt>
                <c:pt idx="53">
                  <c:v>-144.12094960986934</c:v>
                </c:pt>
                <c:pt idx="54">
                  <c:v>-144.30064687943621</c:v>
                </c:pt>
                <c:pt idx="55">
                  <c:v>-144.51897470128537</c:v>
                </c:pt>
                <c:pt idx="56">
                  <c:v>-144.77126248232756</c:v>
                </c:pt>
                <c:pt idx="57">
                  <c:v>-145.053400048621</c:v>
                </c:pt>
                <c:pt idx="58">
                  <c:v>-145.36176038291694</c:v>
                </c:pt>
                <c:pt idx="59">
                  <c:v>-145.69313474311247</c:v>
                </c:pt>
                <c:pt idx="60">
                  <c:v>-146.04467790992103</c:v>
                </c:pt>
                <c:pt idx="61">
                  <c:v>-146.41386176442683</c:v>
                </c:pt>
                <c:pt idx="62">
                  <c:v>-146.79843575014164</c:v>
                </c:pt>
                <c:pt idx="63">
                  <c:v>-147.1963930526</c:v>
                </c:pt>
                <c:pt idx="64">
                  <c:v>-147.60594154966145</c:v>
                </c:pt>
                <c:pt idx="65">
                  <c:v>-148.02547876060837</c:v>
                </c:pt>
                <c:pt idx="66">
                  <c:v>-148.45357016180202</c:v>
                </c:pt>
                <c:pt idx="67">
                  <c:v>-148.88893034871322</c:v>
                </c:pt>
                <c:pt idx="68">
                  <c:v>-149.33040661445577</c:v>
                </c:pt>
                <c:pt idx="69">
                  <c:v>-149.77696458806327</c:v>
                </c:pt>
                <c:pt idx="70">
                  <c:v>-150.22767563519074</c:v>
                </c:pt>
                <c:pt idx="71">
                  <c:v>-150.68170577245874</c:v>
                </c:pt>
                <c:pt idx="72">
                  <c:v>-151.13830588644512</c:v>
                </c:pt>
                <c:pt idx="73">
                  <c:v>-151.5968030810788</c:v>
                </c:pt>
                <c:pt idx="74">
                  <c:v>-152.05659300425168</c:v>
                </c:pt>
                <c:pt idx="75">
                  <c:v>-152.51713302690663</c:v>
                </c:pt>
                <c:pt idx="76">
                  <c:v>-152.97793616654644</c:v>
                </c:pt>
                <c:pt idx="77">
                  <c:v>-153.43856566271722</c:v>
                </c:pt>
                <c:pt idx="78">
                  <c:v>-153.89863012511017</c:v>
                </c:pt>
                <c:pt idx="79">
                  <c:v>-154.35777918593828</c:v>
                </c:pt>
                <c:pt idx="80">
                  <c:v>-154.815699597541</c:v>
                </c:pt>
                <c:pt idx="81">
                  <c:v>-155.27211172404685</c:v>
                </c:pt>
                <c:pt idx="82">
                  <c:v>-155.72676638261484</c:v>
                </c:pt>
                <c:pt idx="83">
                  <c:v>-156.17944199548219</c:v>
                </c:pt>
                <c:pt idx="84">
                  <c:v>-156.62994201892545</c:v>
                </c:pt>
                <c:pt idx="85">
                  <c:v>-157.07809261942711</c:v>
                </c:pt>
                <c:pt idx="86">
                  <c:v>-157.5237405709419</c:v>
                </c:pt>
                <c:pt idx="87">
                  <c:v>-157.96675135026493</c:v>
                </c:pt>
                <c:pt idx="88">
                  <c:v>-158.40700741019253</c:v>
                </c:pt>
                <c:pt idx="89">
                  <c:v>-158.84440661250144</c:v>
                </c:pt>
                <c:pt idx="90">
                  <c:v>-159.27886080480252</c:v>
                </c:pt>
                <c:pt idx="91">
                  <c:v>-159.7102945270974</c:v>
                </c:pt>
                <c:pt idx="92">
                  <c:v>-160.13864383541559</c:v>
                </c:pt>
                <c:pt idx="93">
                  <c:v>-160.56385523127008</c:v>
                </c:pt>
                <c:pt idx="94">
                  <c:v>-160.98588468686228</c:v>
                </c:pt>
                <c:pt idx="95">
                  <c:v>-161.40469675702113</c:v>
                </c:pt>
                <c:pt idx="96">
                  <c:v>-161.82026376978945</c:v>
                </c:pt>
                <c:pt idx="97">
                  <c:v>-162.23256508839305</c:v>
                </c:pt>
                <c:pt idx="98">
                  <c:v>-162.64158643805774</c:v>
                </c:pt>
                <c:pt idx="99">
                  <c:v>-163.04731929178678</c:v>
                </c:pt>
                <c:pt idx="100">
                  <c:v>-163.44976030978717</c:v>
                </c:pt>
                <c:pt idx="101">
                  <c:v>-163.84891082774931</c:v>
                </c:pt>
                <c:pt idx="102">
                  <c:v>-164.24477638964154</c:v>
                </c:pt>
                <c:pt idx="103">
                  <c:v>-164.63736632109399</c:v>
                </c:pt>
                <c:pt idx="104">
                  <c:v>-165.02669333981316</c:v>
                </c:pt>
                <c:pt idx="105">
                  <c:v>-165.41277319980011</c:v>
                </c:pt>
                <c:pt idx="106">
                  <c:v>-165.7956243664419</c:v>
                </c:pt>
                <c:pt idx="107">
                  <c:v>-166.17526771981335</c:v>
                </c:pt>
                <c:pt idx="108">
                  <c:v>-166.55172628376724</c:v>
                </c:pt>
                <c:pt idx="109">
                  <c:v>-166.92502497860852</c:v>
                </c:pt>
                <c:pt idx="110">
                  <c:v>-167.29519039534503</c:v>
                </c:pt>
                <c:pt idx="111">
                  <c:v>-167.66225058968377</c:v>
                </c:pt>
                <c:pt idx="112">
                  <c:v>-168.02623489410416</c:v>
                </c:pt>
                <c:pt idx="113">
                  <c:v>-168.38717374648388</c:v>
                </c:pt>
                <c:pt idx="114">
                  <c:v>-168.74509853388659</c:v>
                </c:pt>
                <c:pt idx="115">
                  <c:v>-169.1000414502397</c:v>
                </c:pt>
                <c:pt idx="116">
                  <c:v>-169.4520353667402</c:v>
                </c:pt>
                <c:pt idx="117">
                  <c:v>-169.80111371392528</c:v>
                </c:pt>
                <c:pt idx="118">
                  <c:v>-170.14731037443528</c:v>
                </c:pt>
                <c:pt idx="119">
                  <c:v>-170.49065958557799</c:v>
                </c:pt>
                <c:pt idx="120">
                  <c:v>-170.83119585087911</c:v>
                </c:pt>
                <c:pt idx="121">
                  <c:v>-171.16895385987121</c:v>
                </c:pt>
                <c:pt idx="122">
                  <c:v>-171.50396841543673</c:v>
                </c:pt>
                <c:pt idx="123">
                  <c:v>-171.8362743680766</c:v>
                </c:pt>
                <c:pt idx="124">
                  <c:v>-172.16590655652894</c:v>
                </c:pt>
                <c:pt idx="125">
                  <c:v>-172.49289975420928</c:v>
                </c:pt>
                <c:pt idx="126">
                  <c:v>-172.81728862098745</c:v>
                </c:pt>
                <c:pt idx="127">
                  <c:v>-173.13910765985634</c:v>
                </c:pt>
                <c:pt idx="128">
                  <c:v>-173.45839117808325</c:v>
                </c:pt>
                <c:pt idx="129">
                  <c:v>-173.77517325246967</c:v>
                </c:pt>
                <c:pt idx="130">
                  <c:v>-174.08948769837357</c:v>
                </c:pt>
                <c:pt idx="131">
                  <c:v>-174.40136804217855</c:v>
                </c:pt>
                <c:pt idx="132">
                  <c:v>-174.71084749691832</c:v>
                </c:pt>
                <c:pt idx="133">
                  <c:v>-175.01795894078944</c:v>
                </c:pt>
                <c:pt idx="134">
                  <c:v>-175.32273489830629</c:v>
                </c:pt>
                <c:pt idx="135">
                  <c:v>-175.6252075238728</c:v>
                </c:pt>
                <c:pt idx="136">
                  <c:v>-175.92540858756274</c:v>
                </c:pt>
                <c:pt idx="137">
                  <c:v>-176.22336946291816</c:v>
                </c:pt>
                <c:pt idx="138">
                  <c:v>-176.51912111659001</c:v>
                </c:pt>
                <c:pt idx="139">
                  <c:v>-176.81269409965995</c:v>
                </c:pt>
                <c:pt idx="140">
                  <c:v>-177.10411854049468</c:v>
                </c:pt>
                <c:pt idx="141">
                  <c:v>-177.39342413899627</c:v>
                </c:pt>
                <c:pt idx="142">
                  <c:v>-177.68064016212338</c:v>
                </c:pt>
                <c:pt idx="143">
                  <c:v>-177.96579544056769</c:v>
                </c:pt>
                <c:pt idx="144">
                  <c:v>-178.24891836647947</c:v>
                </c:pt>
                <c:pt idx="145">
                  <c:v>-178.53003689214509</c:v>
                </c:pt>
                <c:pt idx="146">
                  <c:v>-178.80917852952658</c:v>
                </c:pt>
                <c:pt idx="147">
                  <c:v>-179.08637035058089</c:v>
                </c:pt>
                <c:pt idx="148">
                  <c:v>-179.36163898828335</c:v>
                </c:pt>
                <c:pt idx="149">
                  <c:v>-179.63501063828537</c:v>
                </c:pt>
                <c:pt idx="150">
                  <c:v>-179.90651106114305</c:v>
                </c:pt>
                <c:pt idx="151">
                  <c:v>-180.17616558505759</c:v>
                </c:pt>
                <c:pt idx="152">
                  <c:v>-180.44399910907364</c:v>
                </c:pt>
                <c:pt idx="153">
                  <c:v>-180.71003610668646</c:v>
                </c:pt>
                <c:pt idx="154">
                  <c:v>-180.97430062981221</c:v>
                </c:pt>
                <c:pt idx="155">
                  <c:v>-181.23681631307997</c:v>
                </c:pt>
                <c:pt idx="156">
                  <c:v>-181.49760637840694</c:v>
                </c:pt>
                <c:pt idx="157">
                  <c:v>-181.75669363982252</c:v>
                </c:pt>
                <c:pt idx="158">
                  <c:v>-182.01410050850856</c:v>
                </c:pt>
                <c:pt idx="159">
                  <c:v>-182.26984899802702</c:v>
                </c:pt>
                <c:pt idx="160">
                  <c:v>-182.52396072970748</c:v>
                </c:pt>
                <c:pt idx="161">
                  <c:v>-182.77645693817121</c:v>
                </c:pt>
                <c:pt idx="162">
                  <c:v>-183.02735847696781</c:v>
                </c:pt>
                <c:pt idx="163">
                  <c:v>-183.27668582430542</c:v>
                </c:pt>
                <c:pt idx="164">
                  <c:v>-183.52445908885488</c:v>
                </c:pt>
                <c:pt idx="165">
                  <c:v>-183.77069801561134</c:v>
                </c:pt>
                <c:pt idx="166">
                  <c:v>-184.01542199179747</c:v>
                </c:pt>
                <c:pt idx="167">
                  <c:v>-184.25865005279488</c:v>
                </c:pt>
                <c:pt idx="168">
                  <c:v>-184.50040088808996</c:v>
                </c:pt>
                <c:pt idx="169">
                  <c:v>-184.74069284722361</c:v>
                </c:pt>
                <c:pt idx="170">
                  <c:v>-184.97954394573367</c:v>
                </c:pt>
                <c:pt idx="171">
                  <c:v>-185.21697187108089</c:v>
                </c:pt>
                <c:pt idx="172">
                  <c:v>-185.45299398854982</c:v>
                </c:pt>
                <c:pt idx="173">
                  <c:v>-185.68762734711711</c:v>
                </c:pt>
                <c:pt idx="174">
                  <c:v>-185.92088868527995</c:v>
                </c:pt>
                <c:pt idx="175">
                  <c:v>-186.15279443683883</c:v>
                </c:pt>
                <c:pt idx="176">
                  <c:v>-186.38336073662907</c:v>
                </c:pt>
                <c:pt idx="177">
                  <c:v>-186.61260342619607</c:v>
                </c:pt>
                <c:pt idx="178">
                  <c:v>-186.84053805941016</c:v>
                </c:pt>
                <c:pt idx="179">
                  <c:v>-187.06717990801678</c:v>
                </c:pt>
                <c:pt idx="180">
                  <c:v>-187.2925439671196</c:v>
                </c:pt>
                <c:pt idx="181">
                  <c:v>-187.51664496059232</c:v>
                </c:pt>
                <c:pt idx="182">
                  <c:v>-187.73949734641809</c:v>
                </c:pt>
                <c:pt idx="183">
                  <c:v>-187.96111532195312</c:v>
                </c:pt>
                <c:pt idx="184">
                  <c:v>-188.18151282911356</c:v>
                </c:pt>
                <c:pt idx="185">
                  <c:v>-188.40070355948376</c:v>
                </c:pt>
                <c:pt idx="186">
                  <c:v>-188.61870095934469</c:v>
                </c:pt>
                <c:pt idx="187">
                  <c:v>-188.8355182346215</c:v>
                </c:pt>
                <c:pt idx="188">
                  <c:v>-189.05116835574987</c:v>
                </c:pt>
                <c:pt idx="189">
                  <c:v>-189.2656640624599</c:v>
                </c:pt>
                <c:pt idx="190">
                  <c:v>-189.47901786847808</c:v>
                </c:pt>
                <c:pt idx="191">
                  <c:v>-189.69124206614609</c:v>
                </c:pt>
                <c:pt idx="192">
                  <c:v>-189.90234873095778</c:v>
                </c:pt>
                <c:pt idx="193">
                  <c:v>-190.11234972601292</c:v>
                </c:pt>
                <c:pt idx="194">
                  <c:v>-190.32125670638956</c:v>
                </c:pt>
                <c:pt idx="195">
                  <c:v>-190.52908112343385</c:v>
                </c:pt>
                <c:pt idx="196">
                  <c:v>-190.73583422896908</c:v>
                </c:pt>
                <c:pt idx="197">
                  <c:v>-190.94152707942388</c:v>
                </c:pt>
                <c:pt idx="198">
                  <c:v>-191.14617053988005</c:v>
                </c:pt>
                <c:pt idx="199">
                  <c:v>-191.34977528804154</c:v>
                </c:pt>
                <c:pt idx="200">
                  <c:v>-191.55235181812452</c:v>
                </c:pt>
                <c:pt idx="201">
                  <c:v>-191.75391044466991</c:v>
                </c:pt>
                <c:pt idx="202">
                  <c:v>-191.95446130627926</c:v>
                </c:pt>
                <c:pt idx="203">
                  <c:v>-192.15401436927468</c:v>
                </c:pt>
                <c:pt idx="204">
                  <c:v>-192.35257943128417</c:v>
                </c:pt>
                <c:pt idx="205">
                  <c:v>-192.55016612475305</c:v>
                </c:pt>
                <c:pt idx="206">
                  <c:v>-192.7467839203828</c:v>
                </c:pt>
                <c:pt idx="207">
                  <c:v>-192.94244213049825</c:v>
                </c:pt>
                <c:pt idx="208">
                  <c:v>-193.13714991234434</c:v>
                </c:pt>
                <c:pt idx="209">
                  <c:v>-193.33091627131358</c:v>
                </c:pt>
                <c:pt idx="210">
                  <c:v>-193.52375006410517</c:v>
                </c:pt>
                <c:pt idx="211">
                  <c:v>-193.71566000181707</c:v>
                </c:pt>
                <c:pt idx="212">
                  <c:v>-193.90665465297235</c:v>
                </c:pt>
                <c:pt idx="213">
                  <c:v>-194.09674244648045</c:v>
                </c:pt>
                <c:pt idx="214">
                  <c:v>-194.28593167453531</c:v>
                </c:pt>
                <c:pt idx="215">
                  <c:v>-194.47423049545066</c:v>
                </c:pt>
                <c:pt idx="216">
                  <c:v>-194.66164693643421</c:v>
                </c:pt>
                <c:pt idx="217">
                  <c:v>-194.84818889630191</c:v>
                </c:pt>
                <c:pt idx="218">
                  <c:v>-195.03386414813286</c:v>
                </c:pt>
                <c:pt idx="219">
                  <c:v>-195.21868034186687</c:v>
                </c:pt>
                <c:pt idx="220">
                  <c:v>-195.40264500684486</c:v>
                </c:pt>
                <c:pt idx="221">
                  <c:v>-195.5857655542942</c:v>
                </c:pt>
                <c:pt idx="222">
                  <c:v>-195.76804927975917</c:v>
                </c:pt>
                <c:pt idx="223">
                  <c:v>-195.94950336547825</c:v>
                </c:pt>
                <c:pt idx="224">
                  <c:v>-196.13013488270951</c:v>
                </c:pt>
                <c:pt idx="225">
                  <c:v>-196.30995079400404</c:v>
                </c:pt>
                <c:pt idx="226">
                  <c:v>-198.06470992452444</c:v>
                </c:pt>
                <c:pt idx="227">
                  <c:v>-199.74483976566489</c:v>
                </c:pt>
                <c:pt idx="228">
                  <c:v>-201.35581541266998</c:v>
                </c:pt>
                <c:pt idx="229">
                  <c:v>-202.90241044709319</c:v>
                </c:pt>
                <c:pt idx="230">
                  <c:v>-204.38882109355964</c:v>
                </c:pt>
                <c:pt idx="231">
                  <c:v>-205.81876564765955</c:v>
                </c:pt>
                <c:pt idx="232">
                  <c:v>-207.19556428389862</c:v>
                </c:pt>
                <c:pt idx="233">
                  <c:v>-208.5222032993974</c:v>
                </c:pt>
                <c:pt idx="234">
                  <c:v>-209.80138700000143</c:v>
                </c:pt>
                <c:pt idx="235">
                  <c:v>-211.03557976015668</c:v>
                </c:pt>
                <c:pt idx="236">
                  <c:v>-212.22704025463395</c:v>
                </c:pt>
                <c:pt idx="237">
                  <c:v>-213.37784944055363</c:v>
                </c:pt>
                <c:pt idx="238">
                  <c:v>-214.48993353835908</c:v>
                </c:pt>
                <c:pt idx="239">
                  <c:v>-215.56508300114692</c:v>
                </c:pt>
                <c:pt idx="240">
                  <c:v>-216.60496825777295</c:v>
                </c:pt>
                <c:pt idx="241">
                  <c:v>-217.61115285440113</c:v>
                </c:pt>
                <c:pt idx="242">
                  <c:v>-218.58510449225349</c:v>
                </c:pt>
                <c:pt idx="243">
                  <c:v>-219.52820435893915</c:v>
                </c:pt>
                <c:pt idx="244">
                  <c:v>-220.44175507119087</c:v>
                </c:pt>
                <c:pt idx="245">
                  <c:v>-221.32698748367915</c:v>
                </c:pt>
                <c:pt idx="246">
                  <c:v>-222.18506656833912</c:v>
                </c:pt>
                <c:pt idx="247">
                  <c:v>-223.01709652862257</c:v>
                </c:pt>
                <c:pt idx="248">
                  <c:v>-223.82412528115097</c:v>
                </c:pt>
                <c:pt idx="249">
                  <c:v>-224.60714841172455</c:v>
                </c:pt>
                <c:pt idx="250">
                  <c:v>-225.36711269221738</c:v>
                </c:pt>
                <c:pt idx="251">
                  <c:v>-226.10491922852552</c:v>
                </c:pt>
                <c:pt idx="252">
                  <c:v>-226.82142629660459</c:v>
                </c:pt>
                <c:pt idx="253">
                  <c:v>-227.51745191308817</c:v>
                </c:pt>
                <c:pt idx="254">
                  <c:v>-228.19377617849591</c:v>
                </c:pt>
                <c:pt idx="255">
                  <c:v>-228.85114342421284</c:v>
                </c:pt>
                <c:pt idx="256">
                  <c:v>-229.49026418891398</c:v>
                </c:pt>
                <c:pt idx="257">
                  <c:v>-230.11181704566411</c:v>
                </c:pt>
                <c:pt idx="258">
                  <c:v>-230.71645029732889</c:v>
                </c:pt>
                <c:pt idx="259">
                  <c:v>-231.30478355502345</c:v>
                </c:pt>
                <c:pt idx="260">
                  <c:v>-231.87740921196291</c:v>
                </c:pt>
                <c:pt idx="261">
                  <c:v>-232.43489382316025</c:v>
                </c:pt>
                <c:pt idx="262">
                  <c:v>-232.97777939985289</c:v>
                </c:pt>
                <c:pt idx="263">
                  <c:v>-233.50658462626089</c:v>
                </c:pt>
                <c:pt idx="264">
                  <c:v>-234.02180600523243</c:v>
                </c:pt>
                <c:pt idx="265">
                  <c:v>-234.5239189384701</c:v>
                </c:pt>
                <c:pt idx="266">
                  <c:v>-235.01337874632128</c:v>
                </c:pt>
                <c:pt idx="267">
                  <c:v>-235.49062163152374</c:v>
                </c:pt>
                <c:pt idx="268">
                  <c:v>-235.95606559080721</c:v>
                </c:pt>
                <c:pt idx="269">
                  <c:v>-236.41011127783824</c:v>
                </c:pt>
                <c:pt idx="270">
                  <c:v>-236.85314282064766</c:v>
                </c:pt>
                <c:pt idx="271">
                  <c:v>-237.28552859638467</c:v>
                </c:pt>
                <c:pt idx="272">
                  <c:v>-237.70762196598884</c:v>
                </c:pt>
                <c:pt idx="273">
                  <c:v>-238.11976197115334</c:v>
                </c:pt>
                <c:pt idx="274">
                  <c:v>-238.52227399576418</c:v>
                </c:pt>
                <c:pt idx="275">
                  <c:v>-238.9154703938344</c:v>
                </c:pt>
                <c:pt idx="276">
                  <c:v>-239.29965108580694</c:v>
                </c:pt>
                <c:pt idx="277">
                  <c:v>-239.67510412497003</c:v>
                </c:pt>
                <c:pt idx="278">
                  <c:v>-240.04210623561318</c:v>
                </c:pt>
                <c:pt idx="279">
                  <c:v>-240.4009233244478</c:v>
                </c:pt>
                <c:pt idx="280">
                  <c:v>-240.75181096672091</c:v>
                </c:pt>
                <c:pt idx="281">
                  <c:v>-241.09501486836544</c:v>
                </c:pt>
                <c:pt idx="282">
                  <c:v>-241.43077130544967</c:v>
                </c:pt>
                <c:pt idx="283">
                  <c:v>-241.7593075421164</c:v>
                </c:pt>
                <c:pt idx="284">
                  <c:v>-242.08084222813477</c:v>
                </c:pt>
                <c:pt idx="285">
                  <c:v>-242.39558577712378</c:v>
                </c:pt>
                <c:pt idx="286">
                  <c:v>-242.70374072644933</c:v>
                </c:pt>
                <c:pt idx="287">
                  <c:v>-243.00550207974015</c:v>
                </c:pt>
                <c:pt idx="288">
                  <c:v>-243.3010576329186</c:v>
                </c:pt>
                <c:pt idx="289">
                  <c:v>-243.59058828459143</c:v>
                </c:pt>
                <c:pt idx="290">
                  <c:v>-243.87426833160305</c:v>
                </c:pt>
                <c:pt idx="291">
                  <c:v>-244.15226575050826</c:v>
                </c:pt>
                <c:pt idx="292">
                  <c:v>-244.42474246568389</c:v>
                </c:pt>
                <c:pt idx="293">
                  <c:v>-244.69185460475791</c:v>
                </c:pt>
                <c:pt idx="294">
                  <c:v>-244.95375274200035</c:v>
                </c:pt>
                <c:pt idx="295">
                  <c:v>-245.21058213028653</c:v>
                </c:pt>
                <c:pt idx="296">
                  <c:v>-245.46248292220912</c:v>
                </c:pt>
                <c:pt idx="297">
                  <c:v>-245.70959038088722</c:v>
                </c:pt>
                <c:pt idx="298">
                  <c:v>-245.95203508099064</c:v>
                </c:pt>
                <c:pt idx="299">
                  <c:v>-246.18994310047034</c:v>
                </c:pt>
                <c:pt idx="300">
                  <c:v>-246.42343620346099</c:v>
                </c:pt>
                <c:pt idx="301">
                  <c:v>-246.65263201479593</c:v>
                </c:pt>
                <c:pt idx="302">
                  <c:v>-246.8776441865532</c:v>
                </c:pt>
                <c:pt idx="303">
                  <c:v>-247.09858255702824</c:v>
                </c:pt>
                <c:pt idx="304">
                  <c:v>-247.31555330250825</c:v>
                </c:pt>
                <c:pt idx="305">
                  <c:v>-247.52865908220446</c:v>
                </c:pt>
                <c:pt idx="306">
                  <c:v>-247.7379991766793</c:v>
                </c:pt>
                <c:pt idx="307">
                  <c:v>-247.94366962008752</c:v>
                </c:pt>
                <c:pt idx="308">
                  <c:v>-248.14576332653496</c:v>
                </c:pt>
                <c:pt idx="309">
                  <c:v>-248.34437021084105</c:v>
                </c:pt>
                <c:pt idx="310">
                  <c:v>-248.53957730397875</c:v>
                </c:pt>
                <c:pt idx="311">
                  <c:v>-248.73146886344841</c:v>
                </c:pt>
                <c:pt idx="312">
                  <c:v>-248.92012647883178</c:v>
                </c:pt>
                <c:pt idx="313">
                  <c:v>-249.10562917275729</c:v>
                </c:pt>
                <c:pt idx="314">
                  <c:v>-249.28805349749737</c:v>
                </c:pt>
                <c:pt idx="315">
                  <c:v>-249.46747362740643</c:v>
                </c:pt>
                <c:pt idx="316">
                  <c:v>-249.64396144739766</c:v>
                </c:pt>
                <c:pt idx="317">
                  <c:v>-249.81758663764674</c:v>
                </c:pt>
                <c:pt idx="318">
                  <c:v>-249.98841675470061</c:v>
                </c:pt>
                <c:pt idx="319">
                  <c:v>-250.15651730916107</c:v>
                </c:pt>
                <c:pt idx="320">
                  <c:v>-250.32195184010328</c:v>
                </c:pt>
                <c:pt idx="321">
                  <c:v>-250.4847819863823</c:v>
                </c:pt>
                <c:pt idx="322">
                  <c:v>-250.6450675549722</c:v>
                </c:pt>
                <c:pt idx="323">
                  <c:v>-250.80286658647529</c:v>
                </c:pt>
                <c:pt idx="324">
                  <c:v>-250.9582354179322</c:v>
                </c:pt>
                <c:pt idx="325">
                  <c:v>-251.11122874305698</c:v>
                </c:pt>
                <c:pt idx="326">
                  <c:v>-251.26189967001477</c:v>
                </c:pt>
                <c:pt idx="327">
                  <c:v>-251.41029977685463</c:v>
                </c:pt>
                <c:pt idx="328">
                  <c:v>-251.55647916470309</c:v>
                </c:pt>
                <c:pt idx="329">
                  <c:v>-251.700486508821</c:v>
                </c:pt>
                <c:pt idx="330">
                  <c:v>-251.84236910761811</c:v>
                </c:pt>
                <c:pt idx="331">
                  <c:v>-251.98217292971867</c:v>
                </c:pt>
                <c:pt idx="332">
                  <c:v>-252.1199426591636</c:v>
                </c:pt>
                <c:pt idx="333">
                  <c:v>-252.25572173883285</c:v>
                </c:pt>
                <c:pt idx="334">
                  <c:v>-252.38955241216627</c:v>
                </c:pt>
                <c:pt idx="335">
                  <c:v>-252.5214757632582</c:v>
                </c:pt>
                <c:pt idx="336">
                  <c:v>-252.65153175539672</c:v>
                </c:pt>
                <c:pt idx="337">
                  <c:v>-252.77975926811573</c:v>
                </c:pt>
                <c:pt idx="338">
                  <c:v>-252.90619613282445</c:v>
                </c:pt>
                <c:pt idx="339">
                  <c:v>-253.03087916707548</c:v>
                </c:pt>
                <c:pt idx="340">
                  <c:v>-253.15384420753088</c:v>
                </c:pt>
                <c:pt idx="341">
                  <c:v>-253.27512614168103</c:v>
                </c:pt>
                <c:pt idx="342">
                  <c:v>-253.3947589383701</c:v>
                </c:pt>
                <c:pt idx="343">
                  <c:v>-253.51277567717921</c:v>
                </c:pt>
                <c:pt idx="344">
                  <c:v>-253.62920857671435</c:v>
                </c:pt>
                <c:pt idx="345">
                  <c:v>-253.74408902184655</c:v>
                </c:pt>
                <c:pt idx="346">
                  <c:v>-253.85744758994704</c:v>
                </c:pt>
                <c:pt idx="347">
                  <c:v>-253.96931407616034</c:v>
                </c:pt>
                <c:pt idx="348">
                  <c:v>-254.0797175177542</c:v>
                </c:pt>
                <c:pt idx="349">
                  <c:v>-254.18868621758551</c:v>
                </c:pt>
                <c:pt idx="350">
                  <c:v>-254.29624776671778</c:v>
                </c:pt>
                <c:pt idx="351">
                  <c:v>-254.40242906622532</c:v>
                </c:pt>
                <c:pt idx="352">
                  <c:v>-254.50725634821734</c:v>
                </c:pt>
                <c:pt idx="353">
                  <c:v>-254.6107551961133</c:v>
                </c:pt>
                <c:pt idx="354">
                  <c:v>-254.71295056420004</c:v>
                </c:pt>
                <c:pt idx="355">
                  <c:v>-254.81386679649938</c:v>
                </c:pt>
                <c:pt idx="356">
                  <c:v>-254.91352764497395</c:v>
                </c:pt>
                <c:pt idx="357">
                  <c:v>-255.01195628709749</c:v>
                </c:pt>
                <c:pt idx="358">
                  <c:v>-255.10917534281475</c:v>
                </c:pt>
                <c:pt idx="359">
                  <c:v>-255.20520689091546</c:v>
                </c:pt>
                <c:pt idx="360">
                  <c:v>-255.30007248484486</c:v>
                </c:pt>
                <c:pt idx="361">
                  <c:v>-255.3937931679732</c:v>
                </c:pt>
                <c:pt idx="362">
                  <c:v>-255.4863894883452</c:v>
                </c:pt>
                <c:pt idx="363">
                  <c:v>-255.57788151292957</c:v>
                </c:pt>
                <c:pt idx="364">
                  <c:v>-255.66828884138789</c:v>
                </c:pt>
                <c:pt idx="365">
                  <c:v>-255.75763061938136</c:v>
                </c:pt>
                <c:pt idx="366">
                  <c:v>-255.84592555143297</c:v>
                </c:pt>
                <c:pt idx="367">
                  <c:v>-255.93319191336224</c:v>
                </c:pt>
                <c:pt idx="368">
                  <c:v>-256.01944756430839</c:v>
                </c:pt>
                <c:pt idx="369">
                  <c:v>-256.10470995835789</c:v>
                </c:pt>
                <c:pt idx="370">
                  <c:v>-256.18899615579073</c:v>
                </c:pt>
                <c:pt idx="371">
                  <c:v>-256.27232283396006</c:v>
                </c:pt>
                <c:pt idx="372">
                  <c:v>-256.35470629781889</c:v>
                </c:pt>
                <c:pt idx="373">
                  <c:v>-256.43616249010637</c:v>
                </c:pt>
                <c:pt idx="374">
                  <c:v>-256.5167070012069</c:v>
                </c:pt>
                <c:pt idx="375">
                  <c:v>-256.59635507869348</c:v>
                </c:pt>
                <c:pt idx="376">
                  <c:v>-256.67512163656761</c:v>
                </c:pt>
                <c:pt idx="377">
                  <c:v>-256.7530212642057</c:v>
                </c:pt>
                <c:pt idx="378">
                  <c:v>-256.83006823502342</c:v>
                </c:pt>
                <c:pt idx="379">
                  <c:v>-256.90627651486824</c:v>
                </c:pt>
                <c:pt idx="380">
                  <c:v>-256.98165977014912</c:v>
                </c:pt>
                <c:pt idx="381">
                  <c:v>-257.05623137571371</c:v>
                </c:pt>
                <c:pt idx="382">
                  <c:v>-257.13000442248142</c:v>
                </c:pt>
                <c:pt idx="383">
                  <c:v>-257.2029917248409</c:v>
                </c:pt>
                <c:pt idx="384">
                  <c:v>-257.27520582782103</c:v>
                </c:pt>
                <c:pt idx="385">
                  <c:v>-257.34665901404247</c:v>
                </c:pt>
                <c:pt idx="386">
                  <c:v>-257.41736331045797</c:v>
                </c:pt>
                <c:pt idx="387">
                  <c:v>-257.48733049488857</c:v>
                </c:pt>
                <c:pt idx="388">
                  <c:v>-257.55657210236308</c:v>
                </c:pt>
                <c:pt idx="389">
                  <c:v>-257.62509943126713</c:v>
                </c:pt>
                <c:pt idx="390">
                  <c:v>-257.69292354930866</c:v>
                </c:pt>
                <c:pt idx="391">
                  <c:v>-257.76005529930626</c:v>
                </c:pt>
                <c:pt idx="392">
                  <c:v>-257.82650530480583</c:v>
                </c:pt>
                <c:pt idx="393">
                  <c:v>-257.89228397553234</c:v>
                </c:pt>
                <c:pt idx="394">
                  <c:v>-257.95740151268092</c:v>
                </c:pt>
                <c:pt idx="395">
                  <c:v>-258.0218679140541</c:v>
                </c:pt>
                <c:pt idx="396">
                  <c:v>-258.0856929790495</c:v>
                </c:pt>
                <c:pt idx="397">
                  <c:v>-258.14888631350283</c:v>
                </c:pt>
                <c:pt idx="398">
                  <c:v>-258.21145733439181</c:v>
                </c:pt>
                <c:pt idx="399">
                  <c:v>-258.27341527440478</c:v>
                </c:pt>
                <c:pt idx="400">
                  <c:v>-258.33476918637899</c:v>
                </c:pt>
                <c:pt idx="401">
                  <c:v>-258.39552794761249</c:v>
                </c:pt>
                <c:pt idx="402">
                  <c:v>-258.45570026405397</c:v>
                </c:pt>
                <c:pt idx="403">
                  <c:v>-258.51529467437467</c:v>
                </c:pt>
                <c:pt idx="404">
                  <c:v>-258.57431955392542</c:v>
                </c:pt>
                <c:pt idx="405">
                  <c:v>-258.6327831185838</c:v>
                </c:pt>
                <c:pt idx="406">
                  <c:v>-258.69069342849332</c:v>
                </c:pt>
                <c:pt idx="407">
                  <c:v>-258.74805839169994</c:v>
                </c:pt>
                <c:pt idx="408">
                  <c:v>-258.80488576768732</c:v>
                </c:pt>
                <c:pt idx="409">
                  <c:v>-258.86118317081559</c:v>
                </c:pt>
                <c:pt idx="410">
                  <c:v>-258.91695807366546</c:v>
                </c:pt>
                <c:pt idx="411">
                  <c:v>-258.97221781029157</c:v>
                </c:pt>
                <c:pt idx="412">
                  <c:v>-259.02696957938736</c:v>
                </c:pt>
                <c:pt idx="413">
                  <c:v>-259.08122044736467</c:v>
                </c:pt>
                <c:pt idx="414">
                  <c:v>-259.13497735134985</c:v>
                </c:pt>
                <c:pt idx="415">
                  <c:v>-259.18824710210038</c:v>
                </c:pt>
                <c:pt idx="416">
                  <c:v>-259.24103638684284</c:v>
                </c:pt>
                <c:pt idx="417">
                  <c:v>-259.29335177203626</c:v>
                </c:pt>
                <c:pt idx="418">
                  <c:v>-259.34519970606135</c:v>
                </c:pt>
                <c:pt idx="419">
                  <c:v>-259.39658652183994</c:v>
                </c:pt>
                <c:pt idx="420">
                  <c:v>-259.44751843938457</c:v>
                </c:pt>
                <c:pt idx="421">
                  <c:v>-259.49800156828218</c:v>
                </c:pt>
                <c:pt idx="422">
                  <c:v>-259.54804191011277</c:v>
                </c:pt>
                <c:pt idx="423">
                  <c:v>-259.59764536080525</c:v>
                </c:pt>
                <c:pt idx="424">
                  <c:v>-259.64681771293289</c:v>
                </c:pt>
                <c:pt idx="425">
                  <c:v>-259.69556465794898</c:v>
                </c:pt>
                <c:pt idx="426">
                  <c:v>-259.74389178836589</c:v>
                </c:pt>
                <c:pt idx="427">
                  <c:v>-259.79180459987793</c:v>
                </c:pt>
                <c:pt idx="428">
                  <c:v>-259.83930849343096</c:v>
                </c:pt>
                <c:pt idx="429">
                  <c:v>-259.88640877723856</c:v>
                </c:pt>
                <c:pt idx="430">
                  <c:v>-259.93311066874833</c:v>
                </c:pt>
                <c:pt idx="431">
                  <c:v>-259.97941929655843</c:v>
                </c:pt>
                <c:pt idx="432">
                  <c:v>-260.02533970228563</c:v>
                </c:pt>
                <c:pt idx="433">
                  <c:v>-260.07087684238786</c:v>
                </c:pt>
                <c:pt idx="434">
                  <c:v>-260.1160355899404</c:v>
                </c:pt>
                <c:pt idx="435">
                  <c:v>-260.16082073636903</c:v>
                </c:pt>
                <c:pt idx="436">
                  <c:v>-260.20523699313986</c:v>
                </c:pt>
                <c:pt idx="437">
                  <c:v>-260.24928899340796</c:v>
                </c:pt>
                <c:pt idx="438">
                  <c:v>-260.29298129362559</c:v>
                </c:pt>
                <c:pt idx="439">
                  <c:v>-260.33631837511149</c:v>
                </c:pt>
                <c:pt idx="440">
                  <c:v>-260.37930464558156</c:v>
                </c:pt>
                <c:pt idx="441">
                  <c:v>-260.42194444064324</c:v>
                </c:pt>
                <c:pt idx="442">
                  <c:v>-260.46424202525327</c:v>
                </c:pt>
                <c:pt idx="443">
                  <c:v>-260.50620159514091</c:v>
                </c:pt>
                <c:pt idx="444">
                  <c:v>-260.54782727819685</c:v>
                </c:pt>
                <c:pt idx="445">
                  <c:v>-260.58912313582942</c:v>
                </c:pt>
                <c:pt idx="446">
                  <c:v>-260.63009316428816</c:v>
                </c:pt>
                <c:pt idx="447">
                  <c:v>-260.67074129595647</c:v>
                </c:pt>
                <c:pt idx="448">
                  <c:v>-260.71107140061366</c:v>
                </c:pt>
                <c:pt idx="449">
                  <c:v>-260.75108728666748</c:v>
                </c:pt>
                <c:pt idx="450">
                  <c:v>-260.79079270235786</c:v>
                </c:pt>
                <c:pt idx="451">
                  <c:v>-260.8301913369325</c:v>
                </c:pt>
                <c:pt idx="452">
                  <c:v>-260.8692868217953</c:v>
                </c:pt>
                <c:pt idx="453">
                  <c:v>-260.90808273162804</c:v>
                </c:pt>
                <c:pt idx="454">
                  <c:v>-260.94658258548685</c:v>
                </c:pt>
                <c:pt idx="455">
                  <c:v>-260.98478984787243</c:v>
                </c:pt>
                <c:pt idx="456">
                  <c:v>-261.02270792977708</c:v>
                </c:pt>
                <c:pt idx="457">
                  <c:v>-261.06034018970672</c:v>
                </c:pt>
                <c:pt idx="458">
                  <c:v>-261.09768993468055</c:v>
                </c:pt>
                <c:pt idx="459">
                  <c:v>-261.13476042120772</c:v>
                </c:pt>
                <c:pt idx="460">
                  <c:v>-261.17155485624198</c:v>
                </c:pt>
                <c:pt idx="461">
                  <c:v>-261.20807639811505</c:v>
                </c:pt>
                <c:pt idx="462">
                  <c:v>-261.24432815744899</c:v>
                </c:pt>
                <c:pt idx="463">
                  <c:v>-261.28031319804813</c:v>
                </c:pt>
                <c:pt idx="464">
                  <c:v>-261.31603453777166</c:v>
                </c:pt>
                <c:pt idx="465">
                  <c:v>-261.35149514938632</c:v>
                </c:pt>
                <c:pt idx="466">
                  <c:v>-261.3866979614005</c:v>
                </c:pt>
                <c:pt idx="467">
                  <c:v>-261.42164585888003</c:v>
                </c:pt>
                <c:pt idx="468">
                  <c:v>-261.45634168424624</c:v>
                </c:pt>
                <c:pt idx="469">
                  <c:v>-261.49078823805638</c:v>
                </c:pt>
                <c:pt idx="470">
                  <c:v>-261.524988279767</c:v>
                </c:pt>
                <c:pt idx="471">
                  <c:v>-261.55894452848111</c:v>
                </c:pt>
                <c:pt idx="472">
                  <c:v>-261.59265966367894</c:v>
                </c:pt>
                <c:pt idx="473">
                  <c:v>-261.62613632593292</c:v>
                </c:pt>
                <c:pt idx="474">
                  <c:v>-261.65937711760756</c:v>
                </c:pt>
                <c:pt idx="475">
                  <c:v>-261.69238460354416</c:v>
                </c:pt>
                <c:pt idx="476">
                  <c:v>-261.72516131173103</c:v>
                </c:pt>
                <c:pt idx="477">
                  <c:v>-261.75770973395947</c:v>
                </c:pt>
                <c:pt idx="478">
                  <c:v>-261.79003232646579</c:v>
                </c:pt>
                <c:pt idx="479">
                  <c:v>-261.82213151055993</c:v>
                </c:pt>
                <c:pt idx="480">
                  <c:v>-261.85400967324057</c:v>
                </c:pt>
                <c:pt idx="481">
                  <c:v>-261.88566916779774</c:v>
                </c:pt>
                <c:pt idx="482">
                  <c:v>-261.91711231440263</c:v>
                </c:pt>
                <c:pt idx="483">
                  <c:v>-261.94834140068514</c:v>
                </c:pt>
                <c:pt idx="484">
                  <c:v>-261.97935868229939</c:v>
                </c:pt>
                <c:pt idx="485">
                  <c:v>-262.01016638347772</c:v>
                </c:pt>
                <c:pt idx="486">
                  <c:v>-262.04076669757308</c:v>
                </c:pt>
                <c:pt idx="487">
                  <c:v>-262.07116178759037</c:v>
                </c:pt>
                <c:pt idx="488">
                  <c:v>-262.10135378670702</c:v>
                </c:pt>
                <c:pt idx="489">
                  <c:v>-262.13134479878261</c:v>
                </c:pt>
                <c:pt idx="490">
                  <c:v>-262.16113689885856</c:v>
                </c:pt>
                <c:pt idx="491">
                  <c:v>-262.19073213364715</c:v>
                </c:pt>
                <c:pt idx="492">
                  <c:v>-262.2201325220114</c:v>
                </c:pt>
                <c:pt idx="493">
                  <c:v>-262.24934005543457</c:v>
                </c:pt>
                <c:pt idx="494">
                  <c:v>-262.27835669848054</c:v>
                </c:pt>
                <c:pt idx="495">
                  <c:v>-262.30718438924509</c:v>
                </c:pt>
                <c:pt idx="496">
                  <c:v>-262.33582503979801</c:v>
                </c:pt>
                <c:pt idx="497">
                  <c:v>-262.36428053661632</c:v>
                </c:pt>
                <c:pt idx="498">
                  <c:v>-262.39255274100918</c:v>
                </c:pt>
                <c:pt idx="499">
                  <c:v>-262.42064348953431</c:v>
                </c:pt>
                <c:pt idx="500">
                  <c:v>-262.44855459440612</c:v>
                </c:pt>
                <c:pt idx="501">
                  <c:v>-262.4762878438957</c:v>
                </c:pt>
                <c:pt idx="502">
                  <c:v>-262.50384500272338</c:v>
                </c:pt>
                <c:pt idx="503">
                  <c:v>-262.53122781244343</c:v>
                </c:pt>
                <c:pt idx="504">
                  <c:v>-262.55843799182099</c:v>
                </c:pt>
                <c:pt idx="505">
                  <c:v>-262.58547723720233</c:v>
                </c:pt>
                <c:pt idx="506">
                  <c:v>-262.61234722287713</c:v>
                </c:pt>
                <c:pt idx="507">
                  <c:v>-262.63904960143481</c:v>
                </c:pt>
                <c:pt idx="508">
                  <c:v>-262.66558600411275</c:v>
                </c:pt>
                <c:pt idx="509">
                  <c:v>-262.69195804113917</c:v>
                </c:pt>
                <c:pt idx="510">
                  <c:v>-262.71816730206848</c:v>
                </c:pt>
                <c:pt idx="511">
                  <c:v>-262.74421535611054</c:v>
                </c:pt>
                <c:pt idx="512">
                  <c:v>-262.77010375245408</c:v>
                </c:pt>
                <c:pt idx="513">
                  <c:v>-262.79583402058319</c:v>
                </c:pt>
                <c:pt idx="514">
                  <c:v>-262.82140767058866</c:v>
                </c:pt>
                <c:pt idx="515">
                  <c:v>-262.84682619347302</c:v>
                </c:pt>
                <c:pt idx="516">
                  <c:v>-262.87209106144974</c:v>
                </c:pt>
                <c:pt idx="517">
                  <c:v>-262.8972037282374</c:v>
                </c:pt>
                <c:pt idx="518">
                  <c:v>-262.92216562934789</c:v>
                </c:pt>
                <c:pt idx="519">
                  <c:v>-262.94697818236915</c:v>
                </c:pt>
                <c:pt idx="520">
                  <c:v>-262.9716427872433</c:v>
                </c:pt>
                <c:pt idx="521">
                  <c:v>-262.99616082653915</c:v>
                </c:pt>
                <c:pt idx="522">
                  <c:v>-263.02053366571954</c:v>
                </c:pt>
                <c:pt idx="523">
                  <c:v>-263.04476265340452</c:v>
                </c:pt>
                <c:pt idx="524">
                  <c:v>-263.06884912162866</c:v>
                </c:pt>
                <c:pt idx="525">
                  <c:v>-263.09279438609479</c:v>
                </c:pt>
                <c:pt idx="526">
                  <c:v>-263.1165997464222</c:v>
                </c:pt>
                <c:pt idx="527">
                  <c:v>-263.14026648639071</c:v>
                </c:pt>
                <c:pt idx="528">
                  <c:v>-263.16379587418061</c:v>
                </c:pt>
                <c:pt idx="529">
                  <c:v>-263.18718916260775</c:v>
                </c:pt>
                <c:pt idx="530">
                  <c:v>-263.2104475893546</c:v>
                </c:pt>
                <c:pt idx="531">
                  <c:v>-263.23357237719745</c:v>
                </c:pt>
                <c:pt idx="532">
                  <c:v>-263.25656473422913</c:v>
                </c:pt>
                <c:pt idx="533">
                  <c:v>-263.27942585407789</c:v>
                </c:pt>
                <c:pt idx="534">
                  <c:v>-263.3021569161225</c:v>
                </c:pt>
                <c:pt idx="535">
                  <c:v>-263.32475908570365</c:v>
                </c:pt>
                <c:pt idx="536">
                  <c:v>-263.34723351433121</c:v>
                </c:pt>
                <c:pt idx="537">
                  <c:v>-263.3695813398881</c:v>
                </c:pt>
                <c:pt idx="538">
                  <c:v>-263.39180368683066</c:v>
                </c:pt>
                <c:pt idx="539">
                  <c:v>-263.4139016663853</c:v>
                </c:pt>
                <c:pt idx="540">
                  <c:v>-263.43587637674176</c:v>
                </c:pt>
                <c:pt idx="541">
                  <c:v>-263.45772890324326</c:v>
                </c:pt>
                <c:pt idx="542">
                  <c:v>-263.47946031857299</c:v>
                </c:pt>
                <c:pt idx="543">
                  <c:v>-263.50107168293749</c:v>
                </c:pt>
                <c:pt idx="544">
                  <c:v>-263.52256404424702</c:v>
                </c:pt>
                <c:pt idx="545">
                  <c:v>-263.54393843829251</c:v>
                </c:pt>
                <c:pt idx="546">
                  <c:v>-263.56519588892002</c:v>
                </c:pt>
                <c:pt idx="547">
                  <c:v>-263.58633740820125</c:v>
                </c:pt>
                <c:pt idx="548">
                  <c:v>-263.60736399660243</c:v>
                </c:pt>
                <c:pt idx="549">
                  <c:v>-263.62827664314904</c:v>
                </c:pt>
                <c:pt idx="550">
                  <c:v>-263.64907632558879</c:v>
                </c:pt>
                <c:pt idx="551">
                  <c:v>-263.66976401055103</c:v>
                </c:pt>
                <c:pt idx="552">
                  <c:v>-263.69034065370408</c:v>
                </c:pt>
                <c:pt idx="553">
                  <c:v>-263.71080719990937</c:v>
                </c:pt>
                <c:pt idx="554">
                  <c:v>-263.7311645833737</c:v>
                </c:pt>
                <c:pt idx="555">
                  <c:v>-263.75141372779797</c:v>
                </c:pt>
                <c:pt idx="556">
                  <c:v>-263.77155554652438</c:v>
                </c:pt>
                <c:pt idx="557">
                  <c:v>-263.79159094268067</c:v>
                </c:pt>
                <c:pt idx="558">
                  <c:v>-263.81152080932185</c:v>
                </c:pt>
                <c:pt idx="559">
                  <c:v>-263.83134602957011</c:v>
                </c:pt>
                <c:pt idx="560">
                  <c:v>-263.85106747675201</c:v>
                </c:pt>
                <c:pt idx="561">
                  <c:v>-263.87068601453319</c:v>
                </c:pt>
                <c:pt idx="562">
                  <c:v>-263.89020249705158</c:v>
                </c:pt>
                <c:pt idx="563">
                  <c:v>-263.90961776904783</c:v>
                </c:pt>
                <c:pt idx="564">
                  <c:v>-263.92893266599384</c:v>
                </c:pt>
                <c:pt idx="565">
                  <c:v>-263.94814801421904</c:v>
                </c:pt>
                <c:pt idx="566">
                  <c:v>-263.96726463103482</c:v>
                </c:pt>
                <c:pt idx="567">
                  <c:v>-263.98628332485697</c:v>
                </c:pt>
                <c:pt idx="568">
                  <c:v>-264.00520489532562</c:v>
                </c:pt>
                <c:pt idx="569">
                  <c:v>-264.02403013342411</c:v>
                </c:pt>
                <c:pt idx="570">
                  <c:v>-264.04275982159504</c:v>
                </c:pt>
                <c:pt idx="571">
                  <c:v>-264.06139473385531</c:v>
                </c:pt>
                <c:pt idx="572">
                  <c:v>-264.0799356359085</c:v>
                </c:pt>
                <c:pt idx="573">
                  <c:v>-264.09838328525609</c:v>
                </c:pt>
                <c:pt idx="574">
                  <c:v>-264.11673843130671</c:v>
                </c:pt>
                <c:pt idx="575">
                  <c:v>-264.13500181548341</c:v>
                </c:pt>
                <c:pt idx="576">
                  <c:v>-264.15317417132968</c:v>
                </c:pt>
                <c:pt idx="577">
                  <c:v>-264.17125622461322</c:v>
                </c:pt>
                <c:pt idx="578">
                  <c:v>-264.18924869342868</c:v>
                </c:pt>
                <c:pt idx="579">
                  <c:v>-264.20715228829852</c:v>
                </c:pt>
                <c:pt idx="580">
                  <c:v>-264.22496771227219</c:v>
                </c:pt>
                <c:pt idx="581">
                  <c:v>-264.24269566102362</c:v>
                </c:pt>
                <c:pt idx="582">
                  <c:v>-264.26033682294781</c:v>
                </c:pt>
                <c:pt idx="583">
                  <c:v>-264.27789187925532</c:v>
                </c:pt>
                <c:pt idx="584">
                  <c:v>-264.29536150406551</c:v>
                </c:pt>
                <c:pt idx="585">
                  <c:v>-264.31274636449825</c:v>
                </c:pt>
                <c:pt idx="586">
                  <c:v>-264.3300471207645</c:v>
                </c:pt>
                <c:pt idx="587">
                  <c:v>-264.34726442625492</c:v>
                </c:pt>
                <c:pt idx="588">
                  <c:v>-264.3643989276278</c:v>
                </c:pt>
                <c:pt idx="589">
                  <c:v>-264.38145126489519</c:v>
                </c:pt>
                <c:pt idx="590">
                  <c:v>-264.39842207150787</c:v>
                </c:pt>
                <c:pt idx="591">
                  <c:v>-264.41531197443885</c:v>
                </c:pt>
                <c:pt idx="592">
                  <c:v>-264.43212159426599</c:v>
                </c:pt>
                <c:pt idx="593">
                  <c:v>-264.44885154525286</c:v>
                </c:pt>
                <c:pt idx="594">
                  <c:v>-264.4655024354289</c:v>
                </c:pt>
                <c:pt idx="595">
                  <c:v>-264.4820748666678</c:v>
                </c:pt>
                <c:pt idx="596">
                  <c:v>-264.49856943476527</c:v>
                </c:pt>
                <c:pt idx="597">
                  <c:v>-264.51498672951521</c:v>
                </c:pt>
                <c:pt idx="598">
                  <c:v>-264.53132733478498</c:v>
                </c:pt>
                <c:pt idx="599">
                  <c:v>-264.54759182858936</c:v>
                </c:pt>
                <c:pt idx="600">
                  <c:v>-264.56378078316368</c:v>
                </c:pt>
                <c:pt idx="601">
                  <c:v>-264.57989476503553</c:v>
                </c:pt>
                <c:pt idx="602">
                  <c:v>-264.59593433509576</c:v>
                </c:pt>
                <c:pt idx="603">
                  <c:v>-264.61190004866785</c:v>
                </c:pt>
                <c:pt idx="604">
                  <c:v>-264.62779245557715</c:v>
                </c:pt>
                <c:pt idx="605">
                  <c:v>-264.64361210021826</c:v>
                </c:pt>
                <c:pt idx="606">
                  <c:v>-265.35245169332092</c:v>
                </c:pt>
                <c:pt idx="607">
                  <c:v>-265.93252621313491</c:v>
                </c:pt>
                <c:pt idx="608">
                  <c:v>-266.4187386642252</c:v>
                </c:pt>
                <c:pt idx="609">
                  <c:v>-266.83443550873955</c:v>
                </c:pt>
                <c:pt idx="610">
                  <c:v>-267.19581985872691</c:v>
                </c:pt>
                <c:pt idx="611">
                  <c:v>-267.51448734259554</c:v>
                </c:pt>
                <c:pt idx="612">
                  <c:v>-267.79895403315959</c:v>
                </c:pt>
                <c:pt idx="613">
                  <c:v>-268.05561452215261</c:v>
                </c:pt>
                <c:pt idx="614">
                  <c:v>-268.28936345448653</c:v>
                </c:pt>
                <c:pt idx="615">
                  <c:v>-268.50401074829131</c:v>
                </c:pt>
                <c:pt idx="616">
                  <c:v>-268.70256617740267</c:v>
                </c:pt>
                <c:pt idx="617">
                  <c:v>-268.88743886071416</c:v>
                </c:pt>
                <c:pt idx="618">
                  <c:v>-268.97393624659207</c:v>
                </c:pt>
                <c:pt idx="619">
                  <c:v>-269.05805490911422</c:v>
                </c:pt>
                <c:pt idx="620">
                  <c:v>-269.13992940242531</c:v>
                </c:pt>
                <c:pt idx="621">
                  <c:v>-269.21968431931765</c:v>
                </c:pt>
                <c:pt idx="622">
                  <c:v>-269.29743519612498</c:v>
                </c:pt>
                <c:pt idx="623">
                  <c:v>-269.37328932074718</c:v>
                </c:pt>
                <c:pt idx="624">
                  <c:v>-269.44734645569218</c:v>
                </c:pt>
                <c:pt idx="625">
                  <c:v>-269.51969948638032</c:v>
                </c:pt>
                <c:pt idx="626">
                  <c:v>-269.59043500357069</c:v>
                </c:pt>
                <c:pt idx="627">
                  <c:v>-269.65963382758878</c:v>
                </c:pt>
                <c:pt idx="628">
                  <c:v>-269.72737148102817</c:v>
                </c:pt>
                <c:pt idx="629">
                  <c:v>-269.79371861573884</c:v>
                </c:pt>
                <c:pt idx="630">
                  <c:v>-269.85874139917701</c:v>
                </c:pt>
                <c:pt idx="631">
                  <c:v>-269.92250186455897</c:v>
                </c:pt>
                <c:pt idx="632">
                  <c:v>-269.98505822871272</c:v>
                </c:pt>
                <c:pt idx="633">
                  <c:v>-270.04646518105204</c:v>
                </c:pt>
                <c:pt idx="634">
                  <c:v>-270.1067741466876</c:v>
                </c:pt>
                <c:pt idx="635">
                  <c:v>-270.16603352633535</c:v>
                </c:pt>
                <c:pt idx="636">
                  <c:v>-270.22428891537498</c:v>
                </c:pt>
                <c:pt idx="637">
                  <c:v>-270.28158330414215</c:v>
                </c:pt>
                <c:pt idx="638">
                  <c:v>-270.33795726130336</c:v>
                </c:pt>
                <c:pt idx="639">
                  <c:v>-270.39344910195689</c:v>
                </c:pt>
                <c:pt idx="640">
                  <c:v>-270.44809504192483</c:v>
                </c:pt>
                <c:pt idx="641">
                  <c:v>-270.50192933953986</c:v>
                </c:pt>
                <c:pt idx="642">
                  <c:v>-270.55498442609519</c:v>
                </c:pt>
                <c:pt idx="643">
                  <c:v>-270.60729102599993</c:v>
                </c:pt>
                <c:pt idx="644">
                  <c:v>-270.65887826757591</c:v>
                </c:pt>
                <c:pt idx="645">
                  <c:v>-270.70977378533524</c:v>
                </c:pt>
                <c:pt idx="646">
                  <c:v>-270.76000381449325</c:v>
                </c:pt>
                <c:pt idx="647">
                  <c:v>-270.80959327839565</c:v>
                </c:pt>
                <c:pt idx="648">
                  <c:v>-270.85856586947233</c:v>
                </c:pt>
                <c:pt idx="649">
                  <c:v>-270.90694412426961</c:v>
                </c:pt>
                <c:pt idx="650">
                  <c:v>-270.954749493061</c:v>
                </c:pt>
                <c:pt idx="651">
                  <c:v>-271.0020024044868</c:v>
                </c:pt>
                <c:pt idx="652">
                  <c:v>-271.04872232563326</c:v>
                </c:pt>
                <c:pt idx="653">
                  <c:v>-271.09492781792113</c:v>
                </c:pt>
                <c:pt idx="654">
                  <c:v>-271.14063658914148</c:v>
                </c:pt>
                <c:pt idx="655">
                  <c:v>-271.18586554194405</c:v>
                </c:pt>
                <c:pt idx="656">
                  <c:v>-271.23063081905866</c:v>
                </c:pt>
                <c:pt idx="657">
                  <c:v>-271.2749478455022</c:v>
                </c:pt>
                <c:pt idx="658">
                  <c:v>-271.31883136800394</c:v>
                </c:pt>
                <c:pt idx="659">
                  <c:v>-271.36229549185981</c:v>
                </c:pt>
                <c:pt idx="660">
                  <c:v>-271.40535371541046</c:v>
                </c:pt>
                <c:pt idx="661">
                  <c:v>-271.44801896231843</c:v>
                </c:pt>
                <c:pt idx="662">
                  <c:v>-271.49030361180803</c:v>
                </c:pt>
                <c:pt idx="663">
                  <c:v>-271.532219527015</c:v>
                </c:pt>
                <c:pt idx="664">
                  <c:v>-271.57377808158373</c:v>
                </c:pt>
                <c:pt idx="665">
                  <c:v>-271.6149901846361</c:v>
                </c:pt>
                <c:pt idx="666">
                  <c:v>-271.65586630422746</c:v>
                </c:pt>
                <c:pt idx="667">
                  <c:v>-271.69641648939557</c:v>
                </c:pt>
              </c:numCache>
            </c:numRef>
          </c:yVal>
          <c:smooth val="0"/>
          <c:extLst>
            <c:ext xmlns:c16="http://schemas.microsoft.com/office/drawing/2014/chart" uri="{C3380CC4-5D6E-409C-BE32-E72D297353CC}">
              <c16:uniqueId val="{00000001-9850-4490-A21B-D21557D93B50}"/>
            </c:ext>
          </c:extLst>
        </c:ser>
        <c:dLbls>
          <c:showLegendKey val="0"/>
          <c:showVal val="0"/>
          <c:showCatName val="0"/>
          <c:showSerName val="0"/>
          <c:showPercent val="0"/>
          <c:showBubbleSize val="0"/>
        </c:dLbls>
        <c:axId val="151778048"/>
        <c:axId val="151779584"/>
      </c:scatterChart>
      <c:valAx>
        <c:axId val="15177395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775872"/>
        <c:crossesAt val="-80"/>
        <c:crossBetween val="midCat"/>
      </c:valAx>
      <c:valAx>
        <c:axId val="151775872"/>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773952"/>
        <c:crosses val="autoZero"/>
        <c:crossBetween val="midCat"/>
      </c:valAx>
      <c:valAx>
        <c:axId val="151778048"/>
        <c:scaling>
          <c:logBase val="10"/>
          <c:orientation val="minMax"/>
        </c:scaling>
        <c:delete val="1"/>
        <c:axPos val="b"/>
        <c:numFmt formatCode="General" sourceLinked="1"/>
        <c:majorTickMark val="out"/>
        <c:minorTickMark val="none"/>
        <c:tickLblPos val="none"/>
        <c:crossAx val="151779584"/>
        <c:crosses val="autoZero"/>
        <c:crossBetween val="midCat"/>
      </c:valAx>
      <c:valAx>
        <c:axId val="15177958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778048"/>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23.448525435558384</c:v>
                </c:pt>
                <c:pt idx="1">
                  <c:v>23.448530134888816</c:v>
                </c:pt>
                <c:pt idx="2">
                  <c:v>23.448537967110671</c:v>
                </c:pt>
                <c:pt idx="3">
                  <c:v>23.448548932230654</c:v>
                </c:pt>
                <c:pt idx="4">
                  <c:v>23.448563030258139</c:v>
                </c:pt>
                <c:pt idx="5">
                  <c:v>23.448580261205198</c:v>
                </c:pt>
                <c:pt idx="6">
                  <c:v>23.448600625086577</c:v>
                </c:pt>
                <c:pt idx="7">
                  <c:v>23.448624121919689</c:v>
                </c:pt>
                <c:pt idx="8">
                  <c:v>23.448650751724657</c:v>
                </c:pt>
                <c:pt idx="9">
                  <c:v>23.448680514524256</c:v>
                </c:pt>
                <c:pt idx="10">
                  <c:v>23.449150464155398</c:v>
                </c:pt>
                <c:pt idx="11">
                  <c:v>23.449933758224649</c:v>
                </c:pt>
                <c:pt idx="12">
                  <c:v>23.451030463766834</c:v>
                </c:pt>
                <c:pt idx="13">
                  <c:v>23.452440674648294</c:v>
                </c:pt>
                <c:pt idx="14">
                  <c:v>23.454164511584498</c:v>
                </c:pt>
                <c:pt idx="15">
                  <c:v>23.456202122162662</c:v>
                </c:pt>
                <c:pt idx="16">
                  <c:v>23.458553680869365</c:v>
                </c:pt>
                <c:pt idx="17">
                  <c:v>23.461219389123183</c:v>
                </c:pt>
                <c:pt idx="18">
                  <c:v>23.464199475312384</c:v>
                </c:pt>
                <c:pt idx="19">
                  <c:v>23.511360752671955</c:v>
                </c:pt>
                <c:pt idx="20">
                  <c:v>23.590413578359716</c:v>
                </c:pt>
                <c:pt idx="21">
                  <c:v>23.702042685417858</c:v>
                </c:pt>
                <c:pt idx="22">
                  <c:v>23.84722379308473</c:v>
                </c:pt>
                <c:pt idx="23">
                  <c:v>24.027239844103406</c:v>
                </c:pt>
                <c:pt idx="24">
                  <c:v>24.243700081757339</c:v>
                </c:pt>
                <c:pt idx="25">
                  <c:v>24.498559374161427</c:v>
                </c:pt>
                <c:pt idx="26">
                  <c:v>24.794132671290679</c:v>
                </c:pt>
                <c:pt idx="27">
                  <c:v>25.133094735938393</c:v>
                </c:pt>
                <c:pt idx="28">
                  <c:v>27.584540612085963</c:v>
                </c:pt>
                <c:pt idx="29">
                  <c:v>30.971166638085506</c:v>
                </c:pt>
                <c:pt idx="30">
                  <c:v>29.545064522627463</c:v>
                </c:pt>
                <c:pt idx="31">
                  <c:v>24.246496374127521</c:v>
                </c:pt>
                <c:pt idx="32">
                  <c:v>19.992613216947003</c:v>
                </c:pt>
                <c:pt idx="33">
                  <c:v>16.7183918532583</c:v>
                </c:pt>
                <c:pt idx="34">
                  <c:v>14.077820456777344</c:v>
                </c:pt>
                <c:pt idx="35">
                  <c:v>11.866523527119067</c:v>
                </c:pt>
                <c:pt idx="36">
                  <c:v>9.9643838711710728</c:v>
                </c:pt>
                <c:pt idx="37">
                  <c:v>8.2961195193297499</c:v>
                </c:pt>
                <c:pt idx="38">
                  <c:v>6.8115892436698502</c:v>
                </c:pt>
                <c:pt idx="39">
                  <c:v>5.4756750204704545</c:v>
                </c:pt>
                <c:pt idx="40">
                  <c:v>4.2627566597775255</c:v>
                </c:pt>
                <c:pt idx="41">
                  <c:v>3.1535104878419835</c:v>
                </c:pt>
                <c:pt idx="42">
                  <c:v>2.1329563229560824</c:v>
                </c:pt>
                <c:pt idx="43">
                  <c:v>1.1892123066710372</c:v>
                </c:pt>
                <c:pt idx="44">
                  <c:v>0.31267060084831633</c:v>
                </c:pt>
                <c:pt idx="45">
                  <c:v>-0.50456621849370087</c:v>
                </c:pt>
                <c:pt idx="46">
                  <c:v>-1.2690814524891043</c:v>
                </c:pt>
                <c:pt idx="47">
                  <c:v>-1.9864298212987663</c:v>
                </c:pt>
                <c:pt idx="48">
                  <c:v>-2.6613476885984473</c:v>
                </c:pt>
                <c:pt idx="49">
                  <c:v>-3.2979108276737397</c:v>
                </c:pt>
                <c:pt idx="50">
                  <c:v>-3.8996548667140769</c:v>
                </c:pt>
                <c:pt idx="51">
                  <c:v>-4.469668673222186</c:v>
                </c:pt>
                <c:pt idx="52">
                  <c:v>-5.0106677775019755</c:v>
                </c:pt>
                <c:pt idx="53">
                  <c:v>-5.5250528412270352</c:v>
                </c:pt>
                <c:pt idx="54">
                  <c:v>-6.0149567609744476</c:v>
                </c:pt>
                <c:pt idx="55">
                  <c:v>-6.4822830211092421</c:v>
                </c:pt>
                <c:pt idx="56">
                  <c:v>-6.9287372270927907</c:v>
                </c:pt>
                <c:pt idx="57">
                  <c:v>-7.3558532642834109</c:v>
                </c:pt>
                <c:pt idx="58">
                  <c:v>-7.7650151767525735</c:v>
                </c:pt>
                <c:pt idx="59">
                  <c:v>-8.1574756045160317</c:v>
                </c:pt>
                <c:pt idx="60">
                  <c:v>-8.5343714281904184</c:v>
                </c:pt>
                <c:pt idx="61">
                  <c:v>-8.8967371284761523</c:v>
                </c:pt>
                <c:pt idx="62">
                  <c:v>-9.2455162608717174</c:v>
                </c:pt>
                <c:pt idx="63">
                  <c:v>-9.5815713643851268</c:v>
                </c:pt>
                <c:pt idx="64">
                  <c:v>-9.9056925601360426</c:v>
                </c:pt>
                <c:pt idx="65">
                  <c:v>-10.218605046894867</c:v>
                </c:pt>
                <c:pt idx="66">
                  <c:v>-10.52097566233561</c:v>
                </c:pt>
                <c:pt idx="67">
                  <c:v>-10.813418648557027</c:v>
                </c:pt>
                <c:pt idx="68">
                  <c:v>-11.09650073637634</c:v>
                </c:pt>
                <c:pt idx="69">
                  <c:v>-11.370745643621841</c:v>
                </c:pt>
                <c:pt idx="70">
                  <c:v>-11.63663806708939</c:v>
                </c:pt>
                <c:pt idx="71">
                  <c:v>-11.894627235183009</c:v>
                </c:pt>
                <c:pt idx="72">
                  <c:v>-12.14513007791933</c:v>
                </c:pt>
                <c:pt idx="73">
                  <c:v>-12.38853406246746</c:v>
                </c:pt>
                <c:pt idx="74">
                  <c:v>-12.625199735355487</c:v>
                </c:pt>
                <c:pt idx="75">
                  <c:v>-12.85546300661607</c:v>
                </c:pt>
                <c:pt idx="76">
                  <c:v>-13.079637206242825</c:v>
                </c:pt>
                <c:pt idx="77">
                  <c:v>-13.298014939209434</c:v>
                </c:pt>
                <c:pt idx="78">
                  <c:v>-13.510869761823605</c:v>
                </c:pt>
                <c:pt idx="79">
                  <c:v>-13.718457699235715</c:v>
                </c:pt>
                <c:pt idx="80">
                  <c:v>-13.921018621406716</c:v>
                </c:pt>
                <c:pt idx="81">
                  <c:v>-14.118777492688286</c:v>
                </c:pt>
                <c:pt idx="82">
                  <c:v>-14.311945508320873</c:v>
                </c:pt>
                <c:pt idx="83">
                  <c:v>-14.50072112956353</c:v>
                </c:pt>
                <c:pt idx="84">
                  <c:v>-14.685291027793333</c:v>
                </c:pt>
                <c:pt idx="85">
                  <c:v>-14.86583094671882</c:v>
                </c:pt>
                <c:pt idx="86">
                  <c:v>-15.04250649081369</c:v>
                </c:pt>
                <c:pt idx="87">
                  <c:v>-15.215473847171822</c:v>
                </c:pt>
                <c:pt idx="88">
                  <c:v>-15.384880447192533</c:v>
                </c:pt>
                <c:pt idx="89">
                  <c:v>-15.550865573811095</c:v>
                </c:pt>
                <c:pt idx="90">
                  <c:v>-15.713560919379201</c:v>
                </c:pt>
                <c:pt idx="91">
                  <c:v>-15.873091098762993</c:v>
                </c:pt>
                <c:pt idx="92">
                  <c:v>-16.029574121751807</c:v>
                </c:pt>
                <c:pt idx="93">
                  <c:v>-16.183121828451728</c:v>
                </c:pt>
                <c:pt idx="94">
                  <c:v>-16.333840290966116</c:v>
                </c:pt>
                <c:pt idx="95">
                  <c:v>-16.481830184335752</c:v>
                </c:pt>
                <c:pt idx="96">
                  <c:v>-16.627187129417766</c:v>
                </c:pt>
                <c:pt idx="97">
                  <c:v>-16.770002010121448</c:v>
                </c:pt>
                <c:pt idx="98">
                  <c:v>-16.910361267185973</c:v>
                </c:pt>
                <c:pt idx="99">
                  <c:v>-17.048347170476987</c:v>
                </c:pt>
                <c:pt idx="100">
                  <c:v>-17.184038071592759</c:v>
                </c:pt>
                <c:pt idx="101">
                  <c:v>-17.317508638403794</c:v>
                </c:pt>
                <c:pt idx="102">
                  <c:v>-17.448830073000085</c:v>
                </c:pt>
                <c:pt idx="103">
                  <c:v>-17.578070314385805</c:v>
                </c:pt>
                <c:pt idx="104">
                  <c:v>-17.705294227140381</c:v>
                </c:pt>
                <c:pt idx="105">
                  <c:v>-17.830563777155884</c:v>
                </c:pt>
                <c:pt idx="106">
                  <c:v>-17.953938195462641</c:v>
                </c:pt>
                <c:pt idx="107">
                  <c:v>-18.075474131066397</c:v>
                </c:pt>
                <c:pt idx="108">
                  <c:v>-18.195225793640294</c:v>
                </c:pt>
                <c:pt idx="109">
                  <c:v>-18.313245086842546</c:v>
                </c:pt>
                <c:pt idx="110">
                  <c:v>-18.429581732965165</c:v>
                </c:pt>
                <c:pt idx="111">
                  <c:v>-18.544283389559794</c:v>
                </c:pt>
                <c:pt idx="112">
                  <c:v>-18.657395758632628</c:v>
                </c:pt>
                <c:pt idx="113">
                  <c:v>-18.768962688951699</c:v>
                </c:pt>
                <c:pt idx="114">
                  <c:v>-18.879026271965152</c:v>
                </c:pt>
                <c:pt idx="115">
                  <c:v>-18.987626931788796</c:v>
                </c:pt>
                <c:pt idx="116">
                  <c:v>-19.094803509684333</c:v>
                </c:pt>
                <c:pt idx="117">
                  <c:v>-19.200593343416109</c:v>
                </c:pt>
                <c:pt idx="118">
                  <c:v>-19.305032341843553</c:v>
                </c:pt>
                <c:pt idx="119">
                  <c:v>-19.408155055078645</c:v>
                </c:pt>
                <c:pt idx="120">
                  <c:v>-19.509994740512056</c:v>
                </c:pt>
                <c:pt idx="121">
                  <c:v>-19.610583424988405</c:v>
                </c:pt>
                <c:pt idx="122">
                  <c:v>-19.709951963389482</c:v>
                </c:pt>
                <c:pt idx="123">
                  <c:v>-19.808130093865067</c:v>
                </c:pt>
                <c:pt idx="124">
                  <c:v>-19.905146489932584</c:v>
                </c:pt>
                <c:pt idx="125">
                  <c:v>-20.001028809650826</c:v>
                </c:pt>
                <c:pt idx="126">
                  <c:v>-20.095803742057488</c:v>
                </c:pt>
                <c:pt idx="127">
                  <c:v>-20.189497051046686</c:v>
                </c:pt>
                <c:pt idx="128">
                  <c:v>-20.282133616849677</c:v>
                </c:pt>
                <c:pt idx="129">
                  <c:v>-20.373737475270318</c:v>
                </c:pt>
                <c:pt idx="130">
                  <c:v>-20.464331854816113</c:v>
                </c:pt>
                <c:pt idx="131">
                  <c:v>-20.553939211855543</c:v>
                </c:pt>
                <c:pt idx="132">
                  <c:v>-20.642581263923386</c:v>
                </c:pt>
                <c:pt idx="133">
                  <c:v>-20.730279021287185</c:v>
                </c:pt>
                <c:pt idx="134">
                  <c:v>-20.817052816880217</c:v>
                </c:pt>
                <c:pt idx="135">
                  <c:v>-20.902922334699152</c:v>
                </c:pt>
                <c:pt idx="136">
                  <c:v>-20.987906636757877</c:v>
                </c:pt>
                <c:pt idx="137">
                  <c:v>-21.072024188682832</c:v>
                </c:pt>
                <c:pt idx="138">
                  <c:v>-21.155292884029468</c:v>
                </c:pt>
                <c:pt idx="139">
                  <c:v>-21.2377300673942</c:v>
                </c:pt>
                <c:pt idx="140">
                  <c:v>-21.319352556391319</c:v>
                </c:pt>
                <c:pt idx="141">
                  <c:v>-21.400176662559751</c:v>
                </c:pt>
                <c:pt idx="142">
                  <c:v>-21.480218211260436</c:v>
                </c:pt>
                <c:pt idx="143">
                  <c:v>-21.559492560621077</c:v>
                </c:pt>
                <c:pt idx="144">
                  <c:v>-21.638014619581561</c:v>
                </c:pt>
                <c:pt idx="145">
                  <c:v>-21.715798865089738</c:v>
                </c:pt>
                <c:pt idx="146">
                  <c:v>-21.792859358494372</c:v>
                </c:pt>
                <c:pt idx="147">
                  <c:v>-21.869209761178961</c:v>
                </c:pt>
                <c:pt idx="148">
                  <c:v>-21.944863349477572</c:v>
                </c:pt>
                <c:pt idx="149">
                  <c:v>-22.019833028911172</c:v>
                </c:pt>
                <c:pt idx="150">
                  <c:v>-22.094131347780728</c:v>
                </c:pt>
                <c:pt idx="151">
                  <c:v>-22.167770510150998</c:v>
                </c:pt>
                <c:pt idx="152">
                  <c:v>-22.240762388257053</c:v>
                </c:pt>
                <c:pt idx="153">
                  <c:v>-22.313118534363529</c:v>
                </c:pt>
                <c:pt idx="154">
                  <c:v>-22.384850192104967</c:v>
                </c:pt>
                <c:pt idx="155">
                  <c:v>-22.45596830733372</c:v>
                </c:pt>
                <c:pt idx="156">
                  <c:v>-22.526483538500656</c:v>
                </c:pt>
                <c:pt idx="157">
                  <c:v>-22.596406266592098</c:v>
                </c:pt>
                <c:pt idx="158">
                  <c:v>-22.665746604645442</c:v>
                </c:pt>
                <c:pt idx="159">
                  <c:v>-22.734514406864179</c:v>
                </c:pt>
                <c:pt idx="160">
                  <c:v>-22.802719277352384</c:v>
                </c:pt>
                <c:pt idx="161">
                  <c:v>-22.870370578487147</c:v>
                </c:pt>
                <c:pt idx="162">
                  <c:v>-22.937477438946669</c:v>
                </c:pt>
                <c:pt idx="163">
                  <c:v>-23.004048761410615</c:v>
                </c:pt>
                <c:pt idx="164">
                  <c:v>-23.07009322994854</c:v>
                </c:pt>
                <c:pt idx="165">
                  <c:v>-23.135619317111143</c:v>
                </c:pt>
                <c:pt idx="166">
                  <c:v>-23.200635290738532</c:v>
                </c:pt>
                <c:pt idx="167">
                  <c:v>-23.265149220498671</c:v>
                </c:pt>
                <c:pt idx="168">
                  <c:v>-23.329168984168717</c:v>
                </c:pt>
                <c:pt idx="169">
                  <c:v>-23.392702273671059</c:v>
                </c:pt>
                <c:pt idx="170">
                  <c:v>-23.455756600875443</c:v>
                </c:pt>
                <c:pt idx="171">
                  <c:v>-23.518339303177761</c:v>
                </c:pt>
                <c:pt idx="172">
                  <c:v>-23.580457548865724</c:v>
                </c:pt>
                <c:pt idx="173">
                  <c:v>-23.642118342280977</c:v>
                </c:pt>
                <c:pt idx="174">
                  <c:v>-23.703328528786813</c:v>
                </c:pt>
                <c:pt idx="175">
                  <c:v>-23.764094799550044</c:v>
                </c:pt>
                <c:pt idx="176">
                  <c:v>-23.824423696145338</c:v>
                </c:pt>
                <c:pt idx="177">
                  <c:v>-23.884321614989723</c:v>
                </c:pt>
                <c:pt idx="178">
                  <c:v>-23.943794811614694</c:v>
                </c:pt>
                <c:pt idx="179">
                  <c:v>-24.002849404782957</c:v>
                </c:pt>
                <c:pt idx="180">
                  <c:v>-24.061491380456459</c:v>
                </c:pt>
                <c:pt idx="181">
                  <c:v>-24.119726595622101</c:v>
                </c:pt>
                <c:pt idx="182">
                  <c:v>-24.177560781981093</c:v>
                </c:pt>
                <c:pt idx="183">
                  <c:v>-24.234999549507794</c:v>
                </c:pt>
                <c:pt idx="184">
                  <c:v>-24.292048389883444</c:v>
                </c:pt>
                <c:pt idx="185">
                  <c:v>-24.348712679809982</c:v>
                </c:pt>
                <c:pt idx="186">
                  <c:v>-24.404997684208926</c:v>
                </c:pt>
                <c:pt idx="187">
                  <c:v>-24.460908559310109</c:v>
                </c:pt>
                <c:pt idx="188">
                  <c:v>-24.516450355634557</c:v>
                </c:pt>
                <c:pt idx="189">
                  <c:v>-24.571628020876091</c:v>
                </c:pt>
                <c:pt idx="190">
                  <c:v>-24.62644640268546</c:v>
                </c:pt>
                <c:pt idx="191">
                  <c:v>-24.680910251361095</c:v>
                </c:pt>
                <c:pt idx="192">
                  <c:v>-24.735024222450118</c:v>
                </c:pt>
                <c:pt idx="193">
                  <c:v>-24.788792879263148</c:v>
                </c:pt>
                <c:pt idx="194">
                  <c:v>-24.842220695306352</c:v>
                </c:pt>
                <c:pt idx="195">
                  <c:v>-24.895312056633916</c:v>
                </c:pt>
                <c:pt idx="196">
                  <c:v>-24.94807126412401</c:v>
                </c:pt>
                <c:pt idx="197">
                  <c:v>-25.000502535681299</c:v>
                </c:pt>
                <c:pt idx="198">
                  <c:v>-25.052610008368706</c:v>
                </c:pt>
                <c:pt idx="199">
                  <c:v>-25.10439774047115</c:v>
                </c:pt>
                <c:pt idx="200">
                  <c:v>-25.155869713493942</c:v>
                </c:pt>
                <c:pt idx="201">
                  <c:v>-25.207029834098083</c:v>
                </c:pt>
                <c:pt idx="202">
                  <c:v>-25.25788193597506</c:v>
                </c:pt>
                <c:pt idx="203">
                  <c:v>-25.30842978166325</c:v>
                </c:pt>
                <c:pt idx="204">
                  <c:v>-25.358677064308111</c:v>
                </c:pt>
                <c:pt idx="205">
                  <c:v>-25.408627409368272</c:v>
                </c:pt>
                <c:pt idx="206">
                  <c:v>-25.458284376269447</c:v>
                </c:pt>
                <c:pt idx="207">
                  <c:v>-25.507651460008127</c:v>
                </c:pt>
                <c:pt idx="208">
                  <c:v>-25.556732092706817</c:v>
                </c:pt>
                <c:pt idx="209">
                  <c:v>-25.605529645122559</c:v>
                </c:pt>
                <c:pt idx="210">
                  <c:v>-25.654047428110456</c:v>
                </c:pt>
                <c:pt idx="211">
                  <c:v>-25.702288694043741</c:v>
                </c:pt>
                <c:pt idx="212">
                  <c:v>-25.750256638191988</c:v>
                </c:pt>
                <c:pt idx="213">
                  <c:v>-25.797954400058821</c:v>
                </c:pt>
                <c:pt idx="214">
                  <c:v>-25.84538506468073</c:v>
                </c:pt>
                <c:pt idx="215">
                  <c:v>-25.892551663888099</c:v>
                </c:pt>
                <c:pt idx="216">
                  <c:v>-25.939457177529974</c:v>
                </c:pt>
                <c:pt idx="217">
                  <c:v>-25.986104534663667</c:v>
                </c:pt>
                <c:pt idx="218">
                  <c:v>-26.032496614710503</c:v>
                </c:pt>
                <c:pt idx="219">
                  <c:v>-26.078636248578725</c:v>
                </c:pt>
                <c:pt idx="220">
                  <c:v>-26.124526219754859</c:v>
                </c:pt>
                <c:pt idx="221">
                  <c:v>-26.170169265364368</c:v>
                </c:pt>
                <c:pt idx="222">
                  <c:v>-26.215568077202857</c:v>
                </c:pt>
                <c:pt idx="223">
                  <c:v>-26.260725302738599</c:v>
                </c:pt>
                <c:pt idx="224">
                  <c:v>-26.305643546087502</c:v>
                </c:pt>
                <c:pt idx="225">
                  <c:v>-26.350325368961261</c:v>
                </c:pt>
                <c:pt idx="226">
                  <c:v>-26.784675503245982</c:v>
                </c:pt>
                <c:pt idx="227">
                  <c:v>-27.197919169339837</c:v>
                </c:pt>
                <c:pt idx="228">
                  <c:v>-27.592042313750969</c:v>
                </c:pt>
                <c:pt idx="229">
                  <c:v>-27.96876035965407</c:v>
                </c:pt>
                <c:pt idx="230">
                  <c:v>-28.329565523888228</c:v>
                </c:pt>
                <c:pt idx="231">
                  <c:v>-28.675764184043651</c:v>
                </c:pt>
                <c:pt idx="232">
                  <c:v>-29.008506709223663</c:v>
                </c:pt>
                <c:pt idx="233">
                  <c:v>-29.328811511393766</c:v>
                </c:pt>
                <c:pt idx="234">
                  <c:v>-29.637584613955074</c:v>
                </c:pt>
                <c:pt idx="235">
                  <c:v>-29.935635706694846</c:v>
                </c:pt>
                <c:pt idx="236">
                  <c:v>-30.22369142001601</c:v>
                </c:pt>
                <c:pt idx="237">
                  <c:v>-30.502406378719584</c:v>
                </c:pt>
                <c:pt idx="238">
                  <c:v>-30.772372467967415</c:v>
                </c:pt>
                <c:pt idx="239">
                  <c:v>-31.034126648621339</c:v>
                </c:pt>
                <c:pt idx="240">
                  <c:v>-31.288157587069151</c:v>
                </c:pt>
                <c:pt idx="241">
                  <c:v>-31.534911309672896</c:v>
                </c:pt>
                <c:pt idx="242">
                  <c:v>-31.774796049670346</c:v>
                </c:pt>
                <c:pt idx="243">
                  <c:v>-32.008186421531065</c:v>
                </c:pt>
                <c:pt idx="244">
                  <c:v>-32.235427032090072</c:v>
                </c:pt>
                <c:pt idx="245">
                  <c:v>-32.456835617546901</c:v>
                </c:pt>
                <c:pt idx="246">
                  <c:v>-32.672705779360086</c:v>
                </c:pt>
                <c:pt idx="247">
                  <c:v>-32.883309379240316</c:v>
                </c:pt>
                <c:pt idx="248">
                  <c:v>-33.088898643134506</c:v>
                </c:pt>
                <c:pt idx="249">
                  <c:v>-33.289708015756133</c:v>
                </c:pt>
                <c:pt idx="250">
                  <c:v>-33.485955800438319</c:v>
                </c:pt>
                <c:pt idx="251">
                  <c:v>-33.677845613544392</c:v>
                </c:pt>
                <c:pt idx="252">
                  <c:v>-33.865567678117785</c:v>
                </c:pt>
                <c:pt idx="253">
                  <c:v>-34.049299977694673</c:v>
                </c:pt>
                <c:pt idx="254">
                  <c:v>-34.229209288085357</c:v>
                </c:pt>
                <c:pt idx="255">
                  <c:v>-34.405452102334131</c:v>
                </c:pt>
                <c:pt idx="256">
                  <c:v>-34.578175461895498</c:v>
                </c:pt>
                <c:pt idx="257">
                  <c:v>-34.74751770524086</c:v>
                </c:pt>
                <c:pt idx="258">
                  <c:v>-34.913609143572522</c:v>
                </c:pt>
                <c:pt idx="259">
                  <c:v>-35.076572672020973</c:v>
                </c:pt>
                <c:pt idx="260">
                  <c:v>-35.236524323597465</c:v>
                </c:pt>
                <c:pt idx="261">
                  <c:v>-35.393573772232884</c:v>
                </c:pt>
                <c:pt idx="262">
                  <c:v>-35.547824790430369</c:v>
                </c:pt>
                <c:pt idx="263">
                  <c:v>-35.699375666369903</c:v>
                </c:pt>
                <c:pt idx="264">
                  <c:v>-35.848319584710559</c:v>
                </c:pt>
                <c:pt idx="265">
                  <c:v>-35.99474497482565</c:v>
                </c:pt>
                <c:pt idx="266">
                  <c:v>-36.138735829763732</c:v>
                </c:pt>
                <c:pt idx="267">
                  <c:v>-36.280371998846384</c:v>
                </c:pt>
                <c:pt idx="268">
                  <c:v>-36.419729456480148</c:v>
                </c:pt>
                <c:pt idx="269">
                  <c:v>-36.556880549470769</c:v>
                </c:pt>
                <c:pt idx="270">
                  <c:v>-36.691894224874268</c:v>
                </c:pt>
                <c:pt idx="271">
                  <c:v>-36.82483624019811</c:v>
                </c:pt>
                <c:pt idx="272">
                  <c:v>-36.955769357571107</c:v>
                </c:pt>
                <c:pt idx="273">
                  <c:v>-37.084753523329987</c:v>
                </c:pt>
                <c:pt idx="274">
                  <c:v>-37.211846034319848</c:v>
                </c:pt>
                <c:pt idx="275">
                  <c:v>-37.337101692072963</c:v>
                </c:pt>
                <c:pt idx="276">
                  <c:v>-37.460572945912716</c:v>
                </c:pt>
                <c:pt idx="277">
                  <c:v>-37.582310025925565</c:v>
                </c:pt>
                <c:pt idx="278">
                  <c:v>-37.702361066651086</c:v>
                </c:pt>
                <c:pt idx="279">
                  <c:v>-37.820772222258242</c:v>
                </c:pt>
                <c:pt idx="280">
                  <c:v>-37.937587773902678</c:v>
                </c:pt>
                <c:pt idx="281">
                  <c:v>-38.052850229894453</c:v>
                </c:pt>
                <c:pt idx="282">
                  <c:v>-38.166600419247217</c:v>
                </c:pt>
                <c:pt idx="283">
                  <c:v>-38.278877579127538</c:v>
                </c:pt>
                <c:pt idx="284">
                  <c:v>-38.389719436676273</c:v>
                </c:pt>
                <c:pt idx="285">
                  <c:v>-38.499162285631684</c:v>
                </c:pt>
                <c:pt idx="286">
                  <c:v>-38.607241058146201</c:v>
                </c:pt>
                <c:pt idx="287">
                  <c:v>-38.713989392154573</c:v>
                </c:pt>
                <c:pt idx="288">
                  <c:v>-38.819439694620634</c:v>
                </c:pt>
                <c:pt idx="289">
                  <c:v>-38.923623200961785</c:v>
                </c:pt>
                <c:pt idx="290">
                  <c:v>-39.026570030925633</c:v>
                </c:pt>
                <c:pt idx="291">
                  <c:v>-39.128309241170143</c:v>
                </c:pt>
                <c:pt idx="292">
                  <c:v>-39.228868874778335</c:v>
                </c:pt>
                <c:pt idx="293">
                  <c:v>-39.328276007919733</c:v>
                </c:pt>
                <c:pt idx="294">
                  <c:v>-39.426556793853884</c:v>
                </c:pt>
                <c:pt idx="295">
                  <c:v>-39.523736504455769</c:v>
                </c:pt>
                <c:pt idx="296">
                  <c:v>-39.619839569428919</c:v>
                </c:pt>
                <c:pt idx="297">
                  <c:v>-39.714889613359219</c:v>
                </c:pt>
                <c:pt idx="298">
                  <c:v>-39.808909490750658</c:v>
                </c:pt>
                <c:pt idx="299">
                  <c:v>-39.901921319173688</c:v>
                </c:pt>
                <c:pt idx="300">
                  <c:v>-39.993946510647021</c:v>
                </c:pt>
                <c:pt idx="301">
                  <c:v>-40.085005801364673</c:v>
                </c:pt>
                <c:pt idx="302">
                  <c:v>-40.175119279872192</c:v>
                </c:pt>
                <c:pt idx="303">
                  <c:v>-40.264306413787935</c:v>
                </c:pt>
                <c:pt idx="304">
                  <c:v>-40.35258607515906</c:v>
                </c:pt>
                <c:pt idx="305">
                  <c:v>-40.439976564534874</c:v>
                </c:pt>
                <c:pt idx="306">
                  <c:v>-40.526495633834962</c:v>
                </c:pt>
                <c:pt idx="307">
                  <c:v>-40.612160508083562</c:v>
                </c:pt>
                <c:pt idx="308">
                  <c:v>-40.696987906077368</c:v>
                </c:pt>
                <c:pt idx="309">
                  <c:v>-40.780994060048677</c:v>
                </c:pt>
                <c:pt idx="310">
                  <c:v>-40.864194734382274</c:v>
                </c:pt>
                <c:pt idx="311">
                  <c:v>-40.946605243440004</c:v>
                </c:pt>
                <c:pt idx="312">
                  <c:v>-41.028240468543721</c:v>
                </c:pt>
                <c:pt idx="313">
                  <c:v>-41.109114874164014</c:v>
                </c:pt>
                <c:pt idx="314">
                  <c:v>-41.189242523358622</c:v>
                </c:pt>
                <c:pt idx="315">
                  <c:v>-41.268637092502246</c:v>
                </c:pt>
                <c:pt idx="316">
                  <c:v>-41.347311885346215</c:v>
                </c:pt>
                <c:pt idx="317">
                  <c:v>-41.425279846444383</c:v>
                </c:pt>
                <c:pt idx="318">
                  <c:v>-41.502553573979327</c:v>
                </c:pt>
                <c:pt idx="319">
                  <c:v>-41.57914533202063</c:v>
                </c:pt>
                <c:pt idx="320">
                  <c:v>-41.655067062245109</c:v>
                </c:pt>
                <c:pt idx="321">
                  <c:v>-41.730330395147462</c:v>
                </c:pt>
                <c:pt idx="322">
                  <c:v>-41.804946660767179</c:v>
                </c:pt>
                <c:pt idx="323">
                  <c:v>-41.87892689895704</c:v>
                </c:pt>
                <c:pt idx="324">
                  <c:v>-41.95228186921625</c:v>
                </c:pt>
                <c:pt idx="325">
                  <c:v>-42.025022060110274</c:v>
                </c:pt>
                <c:pt idx="326">
                  <c:v>-42.09715769829814</c:v>
                </c:pt>
                <c:pt idx="327">
                  <c:v>-42.168698757186476</c:v>
                </c:pt>
                <c:pt idx="328">
                  <c:v>-42.239654965228894</c:v>
                </c:pt>
                <c:pt idx="329">
                  <c:v>-42.310035813887936</c:v>
                </c:pt>
                <c:pt idx="330">
                  <c:v>-42.379850565275838</c:v>
                </c:pt>
                <c:pt idx="331">
                  <c:v>-42.449108259489719</c:v>
                </c:pt>
                <c:pt idx="332">
                  <c:v>-42.517817721655582</c:v>
                </c:pt>
                <c:pt idx="333">
                  <c:v>-42.585987568695067</c:v>
                </c:pt>
                <c:pt idx="334">
                  <c:v>-42.653626215827749</c:v>
                </c:pt>
                <c:pt idx="335">
                  <c:v>-42.720741882821528</c:v>
                </c:pt>
                <c:pt idx="336">
                  <c:v>-42.787342600002532</c:v>
                </c:pt>
                <c:pt idx="337">
                  <c:v>-42.853436214035753</c:v>
                </c:pt>
                <c:pt idx="338">
                  <c:v>-42.919030393486565</c:v>
                </c:pt>
                <c:pt idx="339">
                  <c:v>-42.984132634173385</c:v>
                </c:pt>
                <c:pt idx="340">
                  <c:v>-43.048750264320518</c:v>
                </c:pt>
                <c:pt idx="341">
                  <c:v>-43.112890449520165</c:v>
                </c:pt>
                <c:pt idx="342">
                  <c:v>-43.176560197512124</c:v>
                </c:pt>
                <c:pt idx="343">
                  <c:v>-43.239766362789034</c:v>
                </c:pt>
                <c:pt idx="344">
                  <c:v>-43.30251565103481</c:v>
                </c:pt>
                <c:pt idx="345">
                  <c:v>-43.36481462340344</c:v>
                </c:pt>
                <c:pt idx="346">
                  <c:v>-43.42666970064505</c:v>
                </c:pt>
                <c:pt idx="347">
                  <c:v>-43.488087167085666</c:v>
                </c:pt>
                <c:pt idx="348">
                  <c:v>-43.54907317446694</c:v>
                </c:pt>
                <c:pt idx="349">
                  <c:v>-43.609633745651529</c:v>
                </c:pt>
                <c:pt idx="350">
                  <c:v>-43.669774778200079</c:v>
                </c:pt>
                <c:pt idx="351">
                  <c:v>-43.729502047824681</c:v>
                </c:pt>
                <c:pt idx="352">
                  <c:v>-43.788821211724247</c:v>
                </c:pt>
                <c:pt idx="353">
                  <c:v>-43.847737811806482</c:v>
                </c:pt>
                <c:pt idx="354">
                  <c:v>-43.906257277800961</c:v>
                </c:pt>
                <c:pt idx="355">
                  <c:v>-43.964384930267848</c:v>
                </c:pt>
                <c:pt idx="356">
                  <c:v>-44.022125983506427</c:v>
                </c:pt>
                <c:pt idx="357">
                  <c:v>-44.079485548367202</c:v>
                </c:pt>
                <c:pt idx="358">
                  <c:v>-44.136468634971735</c:v>
                </c:pt>
                <c:pt idx="359">
                  <c:v>-44.19308015534348</c:v>
                </c:pt>
                <c:pt idx="360">
                  <c:v>-44.249324925953402</c:v>
                </c:pt>
                <c:pt idx="361">
                  <c:v>-44.30520767018335</c:v>
                </c:pt>
                <c:pt idx="362">
                  <c:v>-44.36073302071064</c:v>
                </c:pt>
                <c:pt idx="363">
                  <c:v>-44.415905521816711</c:v>
                </c:pt>
                <c:pt idx="364">
                  <c:v>-44.470729631622774</c:v>
                </c:pt>
                <c:pt idx="365">
                  <c:v>-44.525209724255141</c:v>
                </c:pt>
                <c:pt idx="366">
                  <c:v>-44.579350091942985</c:v>
                </c:pt>
                <c:pt idx="367">
                  <c:v>-44.63315494705099</c:v>
                </c:pt>
                <c:pt idx="368">
                  <c:v>-44.686628424049253</c:v>
                </c:pt>
                <c:pt idx="369">
                  <c:v>-44.7397745814229</c:v>
                </c:pt>
                <c:pt idx="370">
                  <c:v>-44.792597403523345</c:v>
                </c:pt>
                <c:pt idx="371">
                  <c:v>-44.845100802363703</c:v>
                </c:pt>
                <c:pt idx="372">
                  <c:v>-44.897288619359998</c:v>
                </c:pt>
                <c:pt idx="373">
                  <c:v>-44.949164627020295</c:v>
                </c:pt>
                <c:pt idx="374">
                  <c:v>-45.000732530583704</c:v>
                </c:pt>
                <c:pt idx="375">
                  <c:v>-45.0519959696108</c:v>
                </c:pt>
                <c:pt idx="376">
                  <c:v>-45.102958519527327</c:v>
                </c:pt>
                <c:pt idx="377">
                  <c:v>-45.153623693122867</c:v>
                </c:pt>
                <c:pt idx="378">
                  <c:v>-45.203994942005892</c:v>
                </c:pt>
                <c:pt idx="379">
                  <c:v>-45.254075658016816</c:v>
                </c:pt>
                <c:pt idx="380">
                  <c:v>-45.303869174600507</c:v>
                </c:pt>
                <c:pt idx="381">
                  <c:v>-45.353378768139578</c:v>
                </c:pt>
                <c:pt idx="382">
                  <c:v>-45.402607659249803</c:v>
                </c:pt>
                <c:pt idx="383">
                  <c:v>-45.451559014039049</c:v>
                </c:pt>
                <c:pt idx="384">
                  <c:v>-45.500235945330807</c:v>
                </c:pt>
                <c:pt idx="385">
                  <c:v>-45.548641513853561</c:v>
                </c:pt>
                <c:pt idx="386">
                  <c:v>-45.596778729397215</c:v>
                </c:pt>
                <c:pt idx="387">
                  <c:v>-45.644650551937531</c:v>
                </c:pt>
                <c:pt idx="388">
                  <c:v>-45.692259892729716</c:v>
                </c:pt>
                <c:pt idx="389">
                  <c:v>-45.739609615372203</c:v>
                </c:pt>
                <c:pt idx="390">
                  <c:v>-45.786702536841474</c:v>
                </c:pt>
                <c:pt idx="391">
                  <c:v>-45.833541428498961</c:v>
                </c:pt>
                <c:pt idx="392">
                  <c:v>-45.880129017070956</c:v>
                </c:pt>
                <c:pt idx="393">
                  <c:v>-45.926467985602279</c:v>
                </c:pt>
                <c:pt idx="394">
                  <c:v>-45.972560974384592</c:v>
                </c:pt>
                <c:pt idx="395">
                  <c:v>-46.018410581860238</c:v>
                </c:pt>
                <c:pt idx="396">
                  <c:v>-46.064019365502283</c:v>
                </c:pt>
                <c:pt idx="397">
                  <c:v>-46.109389842671519</c:v>
                </c:pt>
                <c:pt idx="398">
                  <c:v>-46.154524491451212</c:v>
                </c:pt>
                <c:pt idx="399">
                  <c:v>-46.199425751460197</c:v>
                </c:pt>
                <c:pt idx="400">
                  <c:v>-46.244096024645025</c:v>
                </c:pt>
                <c:pt idx="401">
                  <c:v>-46.288537676051938</c:v>
                </c:pt>
                <c:pt idx="402">
                  <c:v>-46.332753034579</c:v>
                </c:pt>
                <c:pt idx="403">
                  <c:v>-46.376744393709224</c:v>
                </c:pt>
                <c:pt idx="404">
                  <c:v>-46.420514012225283</c:v>
                </c:pt>
                <c:pt idx="405">
                  <c:v>-46.464064114906137</c:v>
                </c:pt>
                <c:pt idx="406">
                  <c:v>-46.507396893206341</c:v>
                </c:pt>
                <c:pt idx="407">
                  <c:v>-46.550514505918485</c:v>
                </c:pt>
                <c:pt idx="408">
                  <c:v>-46.593419079819185</c:v>
                </c:pt>
                <c:pt idx="409">
                  <c:v>-46.636112710299244</c:v>
                </c:pt>
                <c:pt idx="410">
                  <c:v>-46.678597461978327</c:v>
                </c:pt>
                <c:pt idx="411">
                  <c:v>-46.720875369304721</c:v>
                </c:pt>
                <c:pt idx="412">
                  <c:v>-46.762948437140473</c:v>
                </c:pt>
                <c:pt idx="413">
                  <c:v>-46.80481864133246</c:v>
                </c:pt>
                <c:pt idx="414">
                  <c:v>-46.846487929269728</c:v>
                </c:pt>
                <c:pt idx="415">
                  <c:v>-46.887958220427535</c:v>
                </c:pt>
                <c:pt idx="416">
                  <c:v>-46.929231406898381</c:v>
                </c:pt>
                <c:pt idx="417">
                  <c:v>-46.970309353910565</c:v>
                </c:pt>
                <c:pt idx="418">
                  <c:v>-47.01119390033444</c:v>
                </c:pt>
                <c:pt idx="419">
                  <c:v>-47.051886859176832</c:v>
                </c:pt>
                <c:pt idx="420">
                  <c:v>-47.092390018063938</c:v>
                </c:pt>
                <c:pt idx="421">
                  <c:v>-47.132705139712918</c:v>
                </c:pt>
                <c:pt idx="422">
                  <c:v>-47.17283396239273</c:v>
                </c:pt>
                <c:pt idx="423">
                  <c:v>-47.21277820037416</c:v>
                </c:pt>
                <c:pt idx="424">
                  <c:v>-47.252539544369782</c:v>
                </c:pt>
                <c:pt idx="425">
                  <c:v>-47.292119661963589</c:v>
                </c:pt>
                <c:pt idx="426">
                  <c:v>-47.331520198031178</c:v>
                </c:pt>
                <c:pt idx="427">
                  <c:v>-47.370742775150177</c:v>
                </c:pt>
                <c:pt idx="428">
                  <c:v>-47.40978899400163</c:v>
                </c:pt>
                <c:pt idx="429">
                  <c:v>-47.448660433762228</c:v>
                </c:pt>
                <c:pt idx="430">
                  <c:v>-47.487358652487941</c:v>
                </c:pt>
                <c:pt idx="431">
                  <c:v>-47.525885187489038</c:v>
                </c:pt>
                <c:pt idx="432">
                  <c:v>-47.564241555696817</c:v>
                </c:pt>
                <c:pt idx="433">
                  <c:v>-47.602429254022347</c:v>
                </c:pt>
                <c:pt idx="434">
                  <c:v>-47.640449759707259</c:v>
                </c:pt>
                <c:pt idx="435">
                  <c:v>-47.678304530666935</c:v>
                </c:pt>
                <c:pt idx="436">
                  <c:v>-47.715995005826215</c:v>
                </c:pt>
                <c:pt idx="437">
                  <c:v>-47.753522605447884</c:v>
                </c:pt>
                <c:pt idx="438">
                  <c:v>-47.790888731454039</c:v>
                </c:pt>
                <c:pt idx="439">
                  <c:v>-47.828094767740616</c:v>
                </c:pt>
                <c:pt idx="440">
                  <c:v>-47.865142080485121</c:v>
                </c:pt>
                <c:pt idx="441">
                  <c:v>-47.902032018447969</c:v>
                </c:pt>
                <c:pt idx="442">
                  <c:v>-47.938765913267247</c:v>
                </c:pt>
                <c:pt idx="443">
                  <c:v>-47.975345079747427</c:v>
                </c:pt>
                <c:pt idx="444">
                  <c:v>-48.011770816141961</c:v>
                </c:pt>
                <c:pt idx="445">
                  <c:v>-48.048044404429959</c:v>
                </c:pt>
                <c:pt idx="446">
                  <c:v>-48.084167110587074</c:v>
                </c:pt>
                <c:pt idx="447">
                  <c:v>-48.120140184850904</c:v>
                </c:pt>
                <c:pt idx="448">
                  <c:v>-48.155964861980763</c:v>
                </c:pt>
                <c:pt idx="449">
                  <c:v>-48.191642361512201</c:v>
                </c:pt>
                <c:pt idx="450">
                  <c:v>-48.227173888006277</c:v>
                </c:pt>
                <c:pt idx="451">
                  <c:v>-48.262560631293773</c:v>
                </c:pt>
                <c:pt idx="452">
                  <c:v>-48.297803766714431</c:v>
                </c:pt>
                <c:pt idx="453">
                  <c:v>-48.332904455351368</c:v>
                </c:pt>
                <c:pt idx="454">
                  <c:v>-48.367863844260761</c:v>
                </c:pt>
                <c:pt idx="455">
                  <c:v>-48.402683066696909</c:v>
                </c:pt>
                <c:pt idx="456">
                  <c:v>-48.437363242332822</c:v>
                </c:pt>
                <c:pt idx="457">
                  <c:v>-48.471905477476412</c:v>
                </c:pt>
                <c:pt idx="458">
                  <c:v>-48.506310865282416</c:v>
                </c:pt>
                <c:pt idx="459">
                  <c:v>-48.540580485960064</c:v>
                </c:pt>
                <c:pt idx="460">
                  <c:v>-48.574715406976793</c:v>
                </c:pt>
                <c:pt idx="461">
                  <c:v>-48.608716683257782</c:v>
                </c:pt>
                <c:pt idx="462">
                  <c:v>-48.64258535738184</c:v>
                </c:pt>
                <c:pt idx="463">
                  <c:v>-48.676322459773246</c:v>
                </c:pt>
                <c:pt idx="464">
                  <c:v>-48.709929008890008</c:v>
                </c:pt>
                <c:pt idx="465">
                  <c:v>-48.743406011408503</c:v>
                </c:pt>
                <c:pt idx="466">
                  <c:v>-48.776754462404462</c:v>
                </c:pt>
                <c:pt idx="467">
                  <c:v>-48.809975345530631</c:v>
                </c:pt>
                <c:pt idx="468">
                  <c:v>-48.843069633190879</c:v>
                </c:pt>
                <c:pt idx="469">
                  <c:v>-48.876038286711214</c:v>
                </c:pt>
                <c:pt idx="470">
                  <c:v>-48.908882256507333</c:v>
                </c:pt>
                <c:pt idx="471">
                  <c:v>-48.941602482249166</c:v>
                </c:pt>
                <c:pt idx="472">
                  <c:v>-48.974199893022323</c:v>
                </c:pt>
                <c:pt idx="473">
                  <c:v>-49.006675407486398</c:v>
                </c:pt>
                <c:pt idx="474">
                  <c:v>-49.039029934030502</c:v>
                </c:pt>
                <c:pt idx="475">
                  <c:v>-49.071264370925746</c:v>
                </c:pt>
                <c:pt idx="476">
                  <c:v>-49.103379606474988</c:v>
                </c:pt>
                <c:pt idx="477">
                  <c:v>-49.135376519159841</c:v>
                </c:pt>
                <c:pt idx="478">
                  <c:v>-49.167255977784876</c:v>
                </c:pt>
                <c:pt idx="479">
                  <c:v>-49.199018841619321</c:v>
                </c:pt>
                <c:pt idx="480">
                  <c:v>-49.230665960536072</c:v>
                </c:pt>
                <c:pt idx="481">
                  <c:v>-49.262198175148207</c:v>
                </c:pt>
                <c:pt idx="482">
                  <c:v>-49.293616316943073</c:v>
                </c:pt>
                <c:pt idx="483">
                  <c:v>-49.324921208413912</c:v>
                </c:pt>
                <c:pt idx="484">
                  <c:v>-49.356113663189078</c:v>
                </c:pt>
                <c:pt idx="485">
                  <c:v>-49.387194486159075</c:v>
                </c:pt>
                <c:pt idx="486">
                  <c:v>-49.418164473601216</c:v>
                </c:pt>
                <c:pt idx="487">
                  <c:v>-49.449024413302055</c:v>
                </c:pt>
                <c:pt idx="488">
                  <c:v>-49.47977508467774</c:v>
                </c:pt>
                <c:pt idx="489">
                  <c:v>-49.51041725889219</c:v>
                </c:pt>
                <c:pt idx="490">
                  <c:v>-49.540951698973181</c:v>
                </c:pt>
                <c:pt idx="491">
                  <c:v>-49.571379159926408</c:v>
                </c:pt>
                <c:pt idx="492">
                  <c:v>-49.60170038884759</c:v>
                </c:pt>
                <c:pt idx="493">
                  <c:v>-49.631916125032554</c:v>
                </c:pt>
                <c:pt idx="494">
                  <c:v>-49.662027100085488</c:v>
                </c:pt>
                <c:pt idx="495">
                  <c:v>-49.692034038025255</c:v>
                </c:pt>
                <c:pt idx="496">
                  <c:v>-49.721937655389937</c:v>
                </c:pt>
                <c:pt idx="497">
                  <c:v>-49.751738661339509</c:v>
                </c:pt>
                <c:pt idx="498">
                  <c:v>-49.781437757756848</c:v>
                </c:pt>
                <c:pt idx="499">
                  <c:v>-49.811035639346919</c:v>
                </c:pt>
                <c:pt idx="500">
                  <c:v>-49.840532993734392</c:v>
                </c:pt>
                <c:pt idx="501">
                  <c:v>-49.869930501559487</c:v>
                </c:pt>
                <c:pt idx="502">
                  <c:v>-49.899228836572291</c:v>
                </c:pt>
                <c:pt idx="503">
                  <c:v>-49.928428665725434</c:v>
                </c:pt>
                <c:pt idx="504">
                  <c:v>-49.957530649265259</c:v>
                </c:pt>
                <c:pt idx="505">
                  <c:v>-49.986535440821413</c:v>
                </c:pt>
                <c:pt idx="506">
                  <c:v>-50.015443687494994</c:v>
                </c:pt>
                <c:pt idx="507">
                  <c:v>-50.044256029945217</c:v>
                </c:pt>
                <c:pt idx="508">
                  <c:v>-50.072973102474627</c:v>
                </c:pt>
                <c:pt idx="509">
                  <c:v>-50.101595533112963</c:v>
                </c:pt>
                <c:pt idx="510">
                  <c:v>-50.130123943699559</c:v>
                </c:pt>
                <c:pt idx="511">
                  <c:v>-50.158558949964501</c:v>
                </c:pt>
                <c:pt idx="512">
                  <c:v>-50.186901161608361</c:v>
                </c:pt>
                <c:pt idx="513">
                  <c:v>-50.215151182380673</c:v>
                </c:pt>
                <c:pt idx="514">
                  <c:v>-50.243309610157148</c:v>
                </c:pt>
                <c:pt idx="515">
                  <c:v>-50.271377037015668</c:v>
                </c:pt>
                <c:pt idx="516">
                  <c:v>-50.299354049310949</c:v>
                </c:pt>
                <c:pt idx="517">
                  <c:v>-50.327241227748118</c:v>
                </c:pt>
                <c:pt idx="518">
                  <c:v>-50.355039147455059</c:v>
                </c:pt>
                <c:pt idx="519">
                  <c:v>-50.38274837805362</c:v>
                </c:pt>
                <c:pt idx="520">
                  <c:v>-50.41036948372966</c:v>
                </c:pt>
                <c:pt idx="521">
                  <c:v>-50.437903023302027</c:v>
                </c:pt>
                <c:pt idx="522">
                  <c:v>-50.465349550290412</c:v>
                </c:pt>
                <c:pt idx="523">
                  <c:v>-50.492709612982154</c:v>
                </c:pt>
                <c:pt idx="524">
                  <c:v>-50.519983754497979</c:v>
                </c:pt>
                <c:pt idx="525">
                  <c:v>-50.547172512856726</c:v>
                </c:pt>
                <c:pt idx="526">
                  <c:v>-50.574276421039045</c:v>
                </c:pt>
                <c:pt idx="527">
                  <c:v>-50.601296007050124</c:v>
                </c:pt>
                <c:pt idx="528">
                  <c:v>-50.628231793981435</c:v>
                </c:pt>
                <c:pt idx="529">
                  <c:v>-50.655084300071501</c:v>
                </c:pt>
                <c:pt idx="530">
                  <c:v>-50.681854038765763</c:v>
                </c:pt>
                <c:pt idx="531">
                  <c:v>-50.708541518775533</c:v>
                </c:pt>
                <c:pt idx="532">
                  <c:v>-50.735147244135959</c:v>
                </c:pt>
                <c:pt idx="533">
                  <c:v>-50.761671714263258</c:v>
                </c:pt>
                <c:pt idx="534">
                  <c:v>-50.788115424010876</c:v>
                </c:pt>
                <c:pt idx="535">
                  <c:v>-50.814478863725014</c:v>
                </c:pt>
                <c:pt idx="536">
                  <c:v>-50.840762519299147</c:v>
                </c:pt>
                <c:pt idx="537">
                  <c:v>-50.866966872227792</c:v>
                </c:pt>
                <c:pt idx="538">
                  <c:v>-50.893092399659423</c:v>
                </c:pt>
                <c:pt idx="539">
                  <c:v>-50.919139574448678</c:v>
                </c:pt>
                <c:pt idx="540">
                  <c:v>-50.945108865207722</c:v>
                </c:pt>
                <c:pt idx="541">
                  <c:v>-50.971000736356785</c:v>
                </c:pt>
                <c:pt idx="542">
                  <c:v>-50.996815648174092</c:v>
                </c:pt>
                <c:pt idx="543">
                  <c:v>-51.022554056844953</c:v>
                </c:pt>
                <c:pt idx="544">
                  <c:v>-51.048216414510144</c:v>
                </c:pt>
                <c:pt idx="545">
                  <c:v>-51.073803169313585</c:v>
                </c:pt>
                <c:pt idx="546">
                  <c:v>-51.0993147654493</c:v>
                </c:pt>
                <c:pt idx="547">
                  <c:v>-51.124751643207745</c:v>
                </c:pt>
                <c:pt idx="548">
                  <c:v>-51.150114239021377</c:v>
                </c:pt>
                <c:pt idx="549">
                  <c:v>-51.175402985509621</c:v>
                </c:pt>
                <c:pt idx="550">
                  <c:v>-51.200618311523144</c:v>
                </c:pt>
                <c:pt idx="551">
                  <c:v>-51.225760642187552</c:v>
                </c:pt>
                <c:pt idx="552">
                  <c:v>-51.250830398946349</c:v>
                </c:pt>
                <c:pt idx="553">
                  <c:v>-51.275827999603408</c:v>
                </c:pt>
                <c:pt idx="554">
                  <c:v>-51.300753858364686</c:v>
                </c:pt>
                <c:pt idx="555">
                  <c:v>-51.325608385879477</c:v>
                </c:pt>
                <c:pt idx="556">
                  <c:v>-51.350391989281036</c:v>
                </c:pt>
                <c:pt idx="557">
                  <c:v>-51.375105072226539</c:v>
                </c:pt>
                <c:pt idx="558">
                  <c:v>-51.399748034936593</c:v>
                </c:pt>
                <c:pt idx="559">
                  <c:v>-51.42432127423416</c:v>
                </c:pt>
                <c:pt idx="560">
                  <c:v>-51.448825183582827</c:v>
                </c:pt>
                <c:pt idx="561">
                  <c:v>-51.47326015312472</c:v>
                </c:pt>
                <c:pt idx="562">
                  <c:v>-51.497626569717724</c:v>
                </c:pt>
                <c:pt idx="563">
                  <c:v>-51.521924816972245</c:v>
                </c:pt>
                <c:pt idx="564">
                  <c:v>-51.546155275287532</c:v>
                </c:pt>
                <c:pt idx="565">
                  <c:v>-51.570318321887299</c:v>
                </c:pt>
                <c:pt idx="566">
                  <c:v>-51.594414330855109</c:v>
                </c:pt>
                <c:pt idx="567">
                  <c:v>-51.618443673169011</c:v>
                </c:pt>
                <c:pt idx="568">
                  <c:v>-51.642406716735906</c:v>
                </c:pt>
                <c:pt idx="569">
                  <c:v>-51.66630382642532</c:v>
                </c:pt>
                <c:pt idx="570">
                  <c:v>-51.690135364102787</c:v>
                </c:pt>
                <c:pt idx="571">
                  <c:v>-51.713901688662666</c:v>
                </c:pt>
                <c:pt idx="572">
                  <c:v>-51.737603156060636</c:v>
                </c:pt>
                <c:pt idx="573">
                  <c:v>-51.7612401193457</c:v>
                </c:pt>
                <c:pt idx="574">
                  <c:v>-51.784812928691736</c:v>
                </c:pt>
                <c:pt idx="575">
                  <c:v>-51.808321931428594</c:v>
                </c:pt>
                <c:pt idx="576">
                  <c:v>-51.831767472072897</c:v>
                </c:pt>
                <c:pt idx="577">
                  <c:v>-51.855149892358234</c:v>
                </c:pt>
                <c:pt idx="578">
                  <c:v>-51.878469531265182</c:v>
                </c:pt>
                <c:pt idx="579">
                  <c:v>-51.901726725050708</c:v>
                </c:pt>
                <c:pt idx="580">
                  <c:v>-51.924921807277286</c:v>
                </c:pt>
                <c:pt idx="581">
                  <c:v>-51.94805510884165</c:v>
                </c:pt>
                <c:pt idx="582">
                  <c:v>-51.971126958003076</c:v>
                </c:pt>
                <c:pt idx="583">
                  <c:v>-51.994137680411399</c:v>
                </c:pt>
                <c:pt idx="584">
                  <c:v>-52.01708759913452</c:v>
                </c:pt>
                <c:pt idx="585">
                  <c:v>-52.03997703468572</c:v>
                </c:pt>
                <c:pt idx="586">
                  <c:v>-52.06280630505043</c:v>
                </c:pt>
                <c:pt idx="587">
                  <c:v>-52.085575725712857</c:v>
                </c:pt>
                <c:pt idx="588">
                  <c:v>-52.108285609682035</c:v>
                </c:pt>
                <c:pt idx="589">
                  <c:v>-52.13093626751774</c:v>
                </c:pt>
                <c:pt idx="590">
                  <c:v>-52.153528007355931</c:v>
                </c:pt>
                <c:pt idx="591">
                  <c:v>-52.176061134933917</c:v>
                </c:pt>
                <c:pt idx="592">
                  <c:v>-52.198535953615206</c:v>
                </c:pt>
                <c:pt idx="593">
                  <c:v>-52.220952764414008</c:v>
                </c:pt>
                <c:pt idx="594">
                  <c:v>-52.243311866019432</c:v>
                </c:pt>
                <c:pt idx="595">
                  <c:v>-52.265613554819353</c:v>
                </c:pt>
                <c:pt idx="596">
                  <c:v>-52.287858124924043</c:v>
                </c:pt>
                <c:pt idx="597">
                  <c:v>-52.310045868189398</c:v>
                </c:pt>
                <c:pt idx="598">
                  <c:v>-52.332177074239937</c:v>
                </c:pt>
                <c:pt idx="599">
                  <c:v>-52.354252030491523</c:v>
                </c:pt>
                <c:pt idx="600">
                  <c:v>-52.376271022173697</c:v>
                </c:pt>
                <c:pt idx="601">
                  <c:v>-52.398234332351876</c:v>
                </c:pt>
                <c:pt idx="602">
                  <c:v>-52.420142241949151</c:v>
                </c:pt>
                <c:pt idx="603">
                  <c:v>-52.441995029767831</c:v>
                </c:pt>
                <c:pt idx="604">
                  <c:v>-52.463792972510788</c:v>
                </c:pt>
                <c:pt idx="605">
                  <c:v>-52.485536344802462</c:v>
                </c:pt>
                <c:pt idx="606">
                  <c:v>-53.508647826117645</c:v>
                </c:pt>
                <c:pt idx="607">
                  <c:v>-54.423841293914244</c:v>
                </c:pt>
                <c:pt idx="608">
                  <c:v>-55.251727298275839</c:v>
                </c:pt>
                <c:pt idx="609">
                  <c:v>-56.007523083922941</c:v>
                </c:pt>
                <c:pt idx="610">
                  <c:v>-56.70278432876799</c:v>
                </c:pt>
                <c:pt idx="611">
                  <c:v>-57.346493167117316</c:v>
                </c:pt>
                <c:pt idx="612">
                  <c:v>-57.94576987382726</c:v>
                </c:pt>
                <c:pt idx="613">
                  <c:v>-58.506354362712528</c:v>
                </c:pt>
                <c:pt idx="614">
                  <c:v>-59.032941438921192</c:v>
                </c:pt>
                <c:pt idx="615">
                  <c:v>-59.529420070390245</c:v>
                </c:pt>
                <c:pt idx="616">
                  <c:v>-59.999047875070886</c:v>
                </c:pt>
                <c:pt idx="617">
                  <c:v>-60.444580796114224</c:v>
                </c:pt>
                <c:pt idx="618">
                  <c:v>-60.616586038182582</c:v>
                </c:pt>
                <c:pt idx="619">
                  <c:v>-60.7852510925159</c:v>
                </c:pt>
                <c:pt idx="620">
                  <c:v>-60.950703219915034</c:v>
                </c:pt>
                <c:pt idx="621">
                  <c:v>-61.113062543930553</c:v>
                </c:pt>
                <c:pt idx="622">
                  <c:v>-61.272442574798553</c:v>
                </c:pt>
                <c:pt idx="623">
                  <c:v>-61.428950686164399</c:v>
                </c:pt>
                <c:pt idx="624">
                  <c:v>-61.582688549609344</c:v>
                </c:pt>
                <c:pt idx="625">
                  <c:v>-61.733752531384376</c:v>
                </c:pt>
                <c:pt idx="626">
                  <c:v>-61.882234055228302</c:v>
                </c:pt>
                <c:pt idx="627">
                  <c:v>-62.028219934691016</c:v>
                </c:pt>
                <c:pt idx="628">
                  <c:v>-62.171792677986801</c:v>
                </c:pt>
                <c:pt idx="629">
                  <c:v>-62.313030768058326</c:v>
                </c:pt>
                <c:pt idx="630">
                  <c:v>-62.452008920231563</c:v>
                </c:pt>
                <c:pt idx="631">
                  <c:v>-62.588798319579489</c:v>
                </c:pt>
                <c:pt idx="632">
                  <c:v>-62.723466839882391</c:v>
                </c:pt>
                <c:pt idx="633">
                  <c:v>-62.856079245871001</c:v>
                </c:pt>
                <c:pt idx="634">
                  <c:v>-62.98669738026102</c:v>
                </c:pt>
                <c:pt idx="635">
                  <c:v>-63.115380336931153</c:v>
                </c:pt>
                <c:pt idx="636">
                  <c:v>-63.242184621458541</c:v>
                </c:pt>
                <c:pt idx="637">
                  <c:v>-63.367164300103241</c:v>
                </c:pt>
                <c:pt idx="638">
                  <c:v>-63.490371138225001</c:v>
                </c:pt>
                <c:pt idx="639">
                  <c:v>-63.6118547290192</c:v>
                </c:pt>
                <c:pt idx="640">
                  <c:v>-63.731662613373359</c:v>
                </c:pt>
                <c:pt idx="641">
                  <c:v>-63.849840391569039</c:v>
                </c:pt>
                <c:pt idx="642">
                  <c:v>-63.966431827486055</c:v>
                </c:pt>
                <c:pt idx="643">
                  <c:v>-64.081478945905005</c:v>
                </c:pt>
                <c:pt idx="644">
                  <c:v>-64.195022123449291</c:v>
                </c:pt>
                <c:pt idx="645">
                  <c:v>-64.30710017365935</c:v>
                </c:pt>
                <c:pt idx="646">
                  <c:v>-64.417750426647444</c:v>
                </c:pt>
                <c:pt idx="647">
                  <c:v>-64.527008803742291</c:v>
                </c:pt>
                <c:pt idx="648">
                  <c:v>-64.634909887496818</c:v>
                </c:pt>
                <c:pt idx="649">
                  <c:v>-64.741486987400492</c:v>
                </c:pt>
                <c:pt idx="650">
                  <c:v>-64.846772201608744</c:v>
                </c:pt>
                <c:pt idx="651">
                  <c:v>-64.950796474975689</c:v>
                </c:pt>
                <c:pt idx="652">
                  <c:v>-65.053589653652566</c:v>
                </c:pt>
                <c:pt idx="653">
                  <c:v>-65.155180536492949</c:v>
                </c:pt>
                <c:pt idx="654">
                  <c:v>-65.255596923486408</c:v>
                </c:pt>
                <c:pt idx="655">
                  <c:v>-65.354865661424228</c:v>
                </c:pt>
                <c:pt idx="656">
                  <c:v>-65.453012686984891</c:v>
                </c:pt>
                <c:pt idx="657">
                  <c:v>-65.550063067412339</c:v>
                </c:pt>
                <c:pt idx="658">
                  <c:v>-65.646041038946748</c:v>
                </c:pt>
                <c:pt idx="659">
                  <c:v>-65.740970043154917</c:v>
                </c:pt>
                <c:pt idx="660">
                  <c:v>-65.834872761296864</c:v>
                </c:pt>
                <c:pt idx="661">
                  <c:v>-65.92777114685434</c:v>
                </c:pt>
                <c:pt idx="662">
                  <c:v>-66.019686456338235</c:v>
                </c:pt>
                <c:pt idx="663">
                  <c:v>-66.110639278482864</c:v>
                </c:pt>
                <c:pt idx="664">
                  <c:v>-66.200649561927548</c:v>
                </c:pt>
                <c:pt idx="665">
                  <c:v>-66.289736641478342</c:v>
                </c:pt>
                <c:pt idx="666">
                  <c:v>-66.377919263036915</c:v>
                </c:pt>
                <c:pt idx="667">
                  <c:v>-66.465215607276249</c:v>
                </c:pt>
              </c:numCache>
            </c:numRef>
          </c:yVal>
          <c:smooth val="1"/>
          <c:extLst>
            <c:ext xmlns:c16="http://schemas.microsoft.com/office/drawing/2014/chart" uri="{C3380CC4-5D6E-409C-BE32-E72D297353CC}">
              <c16:uniqueId val="{00000000-601F-4798-A1E3-D3F97A11E6A7}"/>
            </c:ext>
          </c:extLst>
        </c:ser>
        <c:dLbls>
          <c:showLegendKey val="0"/>
          <c:showVal val="0"/>
          <c:showCatName val="0"/>
          <c:showSerName val="0"/>
          <c:showPercent val="0"/>
          <c:showBubbleSize val="0"/>
        </c:dLbls>
        <c:axId val="151558016"/>
        <c:axId val="151564288"/>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-6.7976749541718423E-3</c:v>
                </c:pt>
                <c:pt idx="1">
                  <c:v>-1.3595361366492378E-2</c:v>
                </c:pt>
                <c:pt idx="2">
                  <c:v>-2.0393070695149808E-2</c:v>
                </c:pt>
                <c:pt idx="3">
                  <c:v>-2.7190814398411346E-2</c:v>
                </c:pt>
                <c:pt idx="4">
                  <c:v>-3.3988603934662763E-2</c:v>
                </c:pt>
                <c:pt idx="5">
                  <c:v>-4.0786450762447836E-2</c:v>
                </c:pt>
                <c:pt idx="6">
                  <c:v>-4.7584366340507896E-2</c:v>
                </c:pt>
                <c:pt idx="7">
                  <c:v>-5.4382362127821375E-2</c:v>
                </c:pt>
                <c:pt idx="8">
                  <c:v>-6.1180449583643257E-2</c:v>
                </c:pt>
                <c:pt idx="9">
                  <c:v>-6.7978640167544582E-2</c:v>
                </c:pt>
                <c:pt idx="10">
                  <c:v>-0.13596873946170326</c:v>
                </c:pt>
                <c:pt idx="11">
                  <c:v>-0.20398176096090778</c:v>
                </c:pt>
                <c:pt idx="12">
                  <c:v>-0.27202917564989443</c:v>
                </c:pt>
                <c:pt idx="13">
                  <c:v>-0.34012246637953408</c:v>
                </c:pt>
                <c:pt idx="14">
                  <c:v>-0.40827313183468172</c:v>
                </c:pt>
                <c:pt idx="15">
                  <c:v>-0.47649269051273302</c:v>
                </c:pt>
                <c:pt idx="16">
                  <c:v>-0.54479268471558606</c:v>
                </c:pt>
                <c:pt idx="17">
                  <c:v>-0.61318468455772046</c:v>
                </c:pt>
                <c:pt idx="18">
                  <c:v>-0.6816802919931213</c:v>
                </c:pt>
                <c:pt idx="19">
                  <c:v>-1.374918167105182</c:v>
                </c:pt>
                <c:pt idx="20">
                  <c:v>-2.0916753348006827</c:v>
                </c:pt>
                <c:pt idx="21">
                  <c:v>-2.8447496467731965</c:v>
                </c:pt>
                <c:pt idx="22">
                  <c:v>-3.6482659099089001</c:v>
                </c:pt>
                <c:pt idx="23">
                  <c:v>-4.5182628677654373</c:v>
                </c:pt>
                <c:pt idx="24">
                  <c:v>-5.4734245454441321</c:v>
                </c:pt>
                <c:pt idx="25">
                  <c:v>-6.5360208440704426</c:v>
                </c:pt>
                <c:pt idx="26">
                  <c:v>-7.7331470601094372</c:v>
                </c:pt>
                <c:pt idx="27">
                  <c:v>-9.0983878667484017</c:v>
                </c:pt>
                <c:pt idx="28">
                  <c:v>-20.443755706959621</c:v>
                </c:pt>
                <c:pt idx="29">
                  <c:v>-51.487899030448517</c:v>
                </c:pt>
                <c:pt idx="30">
                  <c:v>-106.82689202257131</c:v>
                </c:pt>
                <c:pt idx="31">
                  <c:v>-133.65149969148379</c:v>
                </c:pt>
                <c:pt idx="32">
                  <c:v>-143.16970282215289</c:v>
                </c:pt>
                <c:pt idx="33">
                  <c:v>-147.15557892795354</c:v>
                </c:pt>
                <c:pt idx="34">
                  <c:v>-148.90951436854121</c:v>
                </c:pt>
                <c:pt idx="35">
                  <c:v>-149.56896418314577</c:v>
                </c:pt>
                <c:pt idx="36">
                  <c:v>-149.61929929325376</c:v>
                </c:pt>
                <c:pt idx="37">
                  <c:v>-149.30151836195174</c:v>
                </c:pt>
                <c:pt idx="38">
                  <c:v>-148.74903833057988</c:v>
                </c:pt>
                <c:pt idx="39">
                  <c:v>-148.04193751934719</c:v>
                </c:pt>
                <c:pt idx="40">
                  <c:v>-147.23133857924103</c:v>
                </c:pt>
                <c:pt idx="41">
                  <c:v>-146.35148040408535</c:v>
                </c:pt>
                <c:pt idx="42">
                  <c:v>-145.42617084573959</c:v>
                </c:pt>
                <c:pt idx="43">
                  <c:v>-144.47245793367568</c:v>
                </c:pt>
                <c:pt idx="44">
                  <c:v>-143.50283006862676</c:v>
                </c:pt>
                <c:pt idx="45">
                  <c:v>-142.52659419076991</c:v>
                </c:pt>
                <c:pt idx="46">
                  <c:v>-141.55077263552553</c:v>
                </c:pt>
                <c:pt idx="47">
                  <c:v>-140.58070660245909</c:v>
                </c:pt>
                <c:pt idx="48">
                  <c:v>-139.62047438153385</c:v>
                </c:pt>
                <c:pt idx="49">
                  <c:v>-138.67318890787269</c:v>
                </c:pt>
                <c:pt idx="50">
                  <c:v>-137.74121447145558</c:v>
                </c:pt>
                <c:pt idx="51">
                  <c:v>-136.82632786670663</c:v>
                </c:pt>
                <c:pt idx="52">
                  <c:v>-135.92984045882113</c:v>
                </c:pt>
                <c:pt idx="53">
                  <c:v>-135.05269216226387</c:v>
                </c:pt>
                <c:pt idx="54">
                  <c:v>-134.195524831608</c:v>
                </c:pt>
                <c:pt idx="55">
                  <c:v>-133.35874028616402</c:v>
                </c:pt>
                <c:pt idx="56">
                  <c:v>-132.54254667365441</c:v>
                </c:pt>
                <c:pt idx="57">
                  <c:v>-131.74699585006115</c:v>
                </c:pt>
                <c:pt idx="58">
                  <c:v>-130.97201374308185</c:v>
                </c:pt>
                <c:pt idx="59">
                  <c:v>-130.21742516841348</c:v>
                </c:pt>
                <c:pt idx="60">
                  <c:v>-129.48297421264613</c:v>
                </c:pt>
                <c:pt idx="61">
                  <c:v>-128.76834103902033</c:v>
                </c:pt>
                <c:pt idx="62">
                  <c:v>-128.07315578292312</c:v>
                </c:pt>
                <c:pt idx="63">
                  <c:v>-127.39701006272196</c:v>
                </c:pt>
                <c:pt idx="64">
                  <c:v>-126.73946652470276</c:v>
                </c:pt>
                <c:pt idx="65">
                  <c:v>-126.10006675902292</c:v>
                </c:pt>
                <c:pt idx="66">
                  <c:v>-125.47833786010287</c:v>
                </c:pt>
                <c:pt idx="67">
                  <c:v>-124.87379785506457</c:v>
                </c:pt>
                <c:pt idx="68">
                  <c:v>-124.2859601843189</c:v>
                </c:pt>
                <c:pt idx="69">
                  <c:v>-123.71433738676487</c:v>
                </c:pt>
                <c:pt idx="70">
                  <c:v>-123.15844411649681</c:v>
                </c:pt>
                <c:pt idx="71">
                  <c:v>-122.617799597092</c:v>
                </c:pt>
                <c:pt idx="72">
                  <c:v>-122.09192960246412</c:v>
                </c:pt>
                <c:pt idx="73">
                  <c:v>-121.5803680391638</c:v>
                </c:pt>
                <c:pt idx="74">
                  <c:v>-121.08265819329435</c:v>
                </c:pt>
                <c:pt idx="75">
                  <c:v>-120.59835369544219</c:v>
                </c:pt>
                <c:pt idx="76">
                  <c:v>-120.12701924883442</c:v>
                </c:pt>
                <c:pt idx="77">
                  <c:v>-119.66823115905346</c:v>
                </c:pt>
                <c:pt idx="78">
                  <c:v>-119.22157769783486</c:v>
                </c:pt>
                <c:pt idx="79">
                  <c:v>-118.78665932856208</c:v>
                </c:pt>
                <c:pt idx="80">
                  <c:v>-118.36308881691515</c:v>
                </c:pt>
                <c:pt idx="81">
                  <c:v>-117.95049124659262</c:v>
                </c:pt>
                <c:pt idx="82">
                  <c:v>-117.54850395702437</c:v>
                </c:pt>
                <c:pt idx="83">
                  <c:v>-117.15677641743216</c:v>
                </c:pt>
                <c:pt idx="84">
                  <c:v>-116.774970049415</c:v>
                </c:pt>
                <c:pt idx="85">
                  <c:v>-116.4027580083736</c:v>
                </c:pt>
                <c:pt idx="86">
                  <c:v>-116.03982493250179</c:v>
                </c:pt>
                <c:pt idx="87">
                  <c:v>-115.68586666671558</c:v>
                </c:pt>
                <c:pt idx="88">
                  <c:v>-115.34058996773153</c:v>
                </c:pt>
                <c:pt idx="89">
                  <c:v>-115.00371219551765</c:v>
                </c:pt>
                <c:pt idx="90">
                  <c:v>-114.67496099549371</c:v>
                </c:pt>
                <c:pt idx="91">
                  <c:v>-114.35407397513748</c:v>
                </c:pt>
                <c:pt idx="92">
                  <c:v>-114.04079837803647</c:v>
                </c:pt>
                <c:pt idx="93">
                  <c:v>-113.73489075790035</c:v>
                </c:pt>
                <c:pt idx="94">
                  <c:v>-113.43611665460089</c:v>
                </c:pt>
                <c:pt idx="95">
                  <c:v>-113.14425027392619</c:v>
                </c:pt>
                <c:pt idx="96">
                  <c:v>-112.85907417241027</c:v>
                </c:pt>
                <c:pt idx="97">
                  <c:v>-112.58037894832616</c:v>
                </c:pt>
                <c:pt idx="98">
                  <c:v>-112.3079629396952</c:v>
                </c:pt>
                <c:pt idx="99">
                  <c:v>-112.04163192996994</c:v>
                </c:pt>
                <c:pt idx="100">
                  <c:v>-111.78119886188</c:v>
                </c:pt>
                <c:pt idx="101">
                  <c:v>-111.52648355979127</c:v>
                </c:pt>
                <c:pt idx="102">
                  <c:v>-111.2773124608112</c:v>
                </c:pt>
                <c:pt idx="103">
                  <c:v>-111.03351835477407</c:v>
                </c:pt>
                <c:pt idx="104">
                  <c:v>-110.79494013316004</c:v>
                </c:pt>
                <c:pt idx="105">
                  <c:v>-110.56142254693255</c:v>
                </c:pt>
                <c:pt idx="106">
                  <c:v>-110.332815973225</c:v>
                </c:pt>
                <c:pt idx="107">
                  <c:v>-110.10897619076141</c:v>
                </c:pt>
                <c:pt idx="108">
                  <c:v>-109.88976416386011</c:v>
                </c:pt>
                <c:pt idx="109">
                  <c:v>-109.67504583484008</c:v>
                </c:pt>
                <c:pt idx="110">
                  <c:v>-109.46469192462759</c:v>
                </c:pt>
                <c:pt idx="111">
                  <c:v>-109.25857774134332</c:v>
                </c:pt>
                <c:pt idx="112">
                  <c:v>-109.05658299663743</c:v>
                </c:pt>
                <c:pt idx="113">
                  <c:v>-108.85859162953079</c:v>
                </c:pt>
                <c:pt idx="114">
                  <c:v>-108.66449163751582</c:v>
                </c:pt>
                <c:pt idx="115">
                  <c:v>-108.47417491466616</c:v>
                </c:pt>
                <c:pt idx="116">
                  <c:v>-108.28753709650471</c:v>
                </c:pt>
                <c:pt idx="117">
                  <c:v>-108.10447741137884</c:v>
                </c:pt>
                <c:pt idx="118">
                  <c:v>-107.92489853809656</c:v>
                </c:pt>
                <c:pt idx="119">
                  <c:v>-107.74870646957793</c:v>
                </c:pt>
                <c:pt idx="120">
                  <c:v>-107.57581038228385</c:v>
                </c:pt>
                <c:pt idx="121">
                  <c:v>-107.40612251118696</c:v>
                </c:pt>
                <c:pt idx="122">
                  <c:v>-107.23955803005755</c:v>
                </c:pt>
                <c:pt idx="123">
                  <c:v>-107.07603493684191</c:v>
                </c:pt>
                <c:pt idx="124">
                  <c:v>-106.91547394391938</c:v>
                </c:pt>
                <c:pt idx="125">
                  <c:v>-106.75779837302946</c:v>
                </c:pt>
                <c:pt idx="126">
                  <c:v>-106.60293405466834</c:v>
                </c:pt>
                <c:pt idx="127">
                  <c:v>-106.45080923176168</c:v>
                </c:pt>
                <c:pt idx="128">
                  <c:v>-106.30135446742709</c:v>
                </c:pt>
                <c:pt idx="129">
                  <c:v>-106.15450255664699</c:v>
                </c:pt>
                <c:pt idx="130">
                  <c:v>-106.01018844167992</c:v>
                </c:pt>
                <c:pt idx="131">
                  <c:v>-105.86834913104516</c:v>
                </c:pt>
                <c:pt idx="132">
                  <c:v>-105.72892362192208</c:v>
                </c:pt>
                <c:pt idx="133">
                  <c:v>-105.59185282581265</c:v>
                </c:pt>
                <c:pt idx="134">
                  <c:v>-105.45707949732194</c:v>
                </c:pt>
                <c:pt idx="135">
                  <c:v>-105.32454816591707</c:v>
                </c:pt>
                <c:pt idx="136">
                  <c:v>-105.1942050705327</c:v>
                </c:pt>
                <c:pt idx="137">
                  <c:v>-105.0659980968947</c:v>
                </c:pt>
                <c:pt idx="138">
                  <c:v>-104.93987671744172</c:v>
                </c:pt>
                <c:pt idx="139">
                  <c:v>-104.81579193372801</c:v>
                </c:pt>
                <c:pt idx="140">
                  <c:v>-104.6936962211969</c:v>
                </c:pt>
                <c:pt idx="141">
                  <c:v>-104.57354347621944</c:v>
                </c:pt>
                <c:pt idx="142">
                  <c:v>-104.45528896529693</c:v>
                </c:pt>
                <c:pt idx="143">
                  <c:v>-104.33888927633156</c:v>
                </c:pt>
                <c:pt idx="144">
                  <c:v>-104.22430227187272</c:v>
                </c:pt>
                <c:pt idx="145">
                  <c:v>-104.11148704425197</c:v>
                </c:pt>
                <c:pt idx="146">
                  <c:v>-104.00040387252258</c:v>
                </c:pt>
                <c:pt idx="147">
                  <c:v>-103.89101418112445</c:v>
                </c:pt>
                <c:pt idx="148">
                  <c:v>-103.78328050019789</c:v>
                </c:pt>
                <c:pt idx="149">
                  <c:v>-103.6771664274744</c:v>
                </c:pt>
                <c:pt idx="150">
                  <c:v>-103.57263659167464</c:v>
                </c:pt>
                <c:pt idx="151">
                  <c:v>-103.46965661734829</c:v>
                </c:pt>
                <c:pt idx="152">
                  <c:v>-103.36819309109275</c:v>
                </c:pt>
                <c:pt idx="153">
                  <c:v>-103.26821352909066</c:v>
                </c:pt>
                <c:pt idx="154">
                  <c:v>-103.16968634590924</c:v>
                </c:pt>
                <c:pt idx="155">
                  <c:v>-103.07258082450697</c:v>
                </c:pt>
                <c:pt idx="156">
                  <c:v>-102.97686708739553</c:v>
                </c:pt>
                <c:pt idx="157">
                  <c:v>-102.88251606890762</c:v>
                </c:pt>
                <c:pt idx="158">
                  <c:v>-102.78949948852333</c:v>
                </c:pt>
                <c:pt idx="159">
                  <c:v>-102.69778982520958</c:v>
                </c:pt>
                <c:pt idx="160">
                  <c:v>-102.60736029273065</c:v>
                </c:pt>
                <c:pt idx="161">
                  <c:v>-102.51818481588735</c:v>
                </c:pt>
                <c:pt idx="162">
                  <c:v>-102.43023800764699</c:v>
                </c:pt>
                <c:pt idx="163">
                  <c:v>-102.34349514712586</c:v>
                </c:pt>
                <c:pt idx="164">
                  <c:v>-102.25793215838912</c:v>
                </c:pt>
                <c:pt idx="165">
                  <c:v>-102.1735255900338</c:v>
                </c:pt>
                <c:pt idx="166">
                  <c:v>-102.0902525955223</c:v>
                </c:pt>
                <c:pt idx="167">
                  <c:v>-102.00809091423586</c:v>
                </c:pt>
                <c:pt idx="168">
                  <c:v>-101.92701885321796</c:v>
                </c:pt>
                <c:pt idx="169">
                  <c:v>-101.84701526957917</c:v>
                </c:pt>
                <c:pt idx="170">
                  <c:v>-101.76805955353731</c:v>
                </c:pt>
                <c:pt idx="171">
                  <c:v>-101.690131612066</c:v>
                </c:pt>
                <c:pt idx="172">
                  <c:v>-101.61321185312778</c:v>
                </c:pt>
                <c:pt idx="173">
                  <c:v>-101.53728117046788</c:v>
                </c:pt>
                <c:pt idx="174">
                  <c:v>-101.46232092894614</c:v>
                </c:pt>
                <c:pt idx="175">
                  <c:v>-101.3883129503857</c:v>
                </c:pt>
                <c:pt idx="176">
                  <c:v>-101.31523949991765</c:v>
                </c:pt>
                <c:pt idx="177">
                  <c:v>-101.24308327280228</c:v>
                </c:pt>
                <c:pt idx="178">
                  <c:v>-101.17182738170774</c:v>
                </c:pt>
                <c:pt idx="179">
                  <c:v>-101.1014553444286</c:v>
                </c:pt>
                <c:pt idx="180">
                  <c:v>-101.03195107202647</c:v>
                </c:pt>
                <c:pt idx="181">
                  <c:v>-100.9632988573771</c:v>
                </c:pt>
                <c:pt idx="182">
                  <c:v>-100.89548336410685</c:v>
                </c:pt>
                <c:pt idx="183">
                  <c:v>-100.82848961590526</c:v>
                </c:pt>
                <c:pt idx="184">
                  <c:v>-100.76230298619748</c:v>
                </c:pt>
                <c:pt idx="185">
                  <c:v>-100.69690918816407</c:v>
                </c:pt>
                <c:pt idx="186">
                  <c:v>-100.6322942650941</c:v>
                </c:pt>
                <c:pt idx="187">
                  <c:v>-100.5684445810594</c:v>
                </c:pt>
                <c:pt idx="188">
                  <c:v>-100.50534681189755</c:v>
                </c:pt>
                <c:pt idx="189">
                  <c:v>-100.4429879364921</c:v>
                </c:pt>
                <c:pt idx="190">
                  <c:v>-100.3813552283388</c:v>
                </c:pt>
                <c:pt idx="191">
                  <c:v>-100.32043624738712</c:v>
                </c:pt>
                <c:pt idx="192">
                  <c:v>-100.26021883214693</c:v>
                </c:pt>
                <c:pt idx="193">
                  <c:v>-100.20069109205076</c:v>
                </c:pt>
                <c:pt idx="194">
                  <c:v>-100.14184140006149</c:v>
                </c:pt>
                <c:pt idx="195">
                  <c:v>-100.08365838551731</c:v>
                </c:pt>
                <c:pt idx="196">
                  <c:v>-100.02613092720466</c:v>
                </c:pt>
                <c:pt idx="197">
                  <c:v>-99.969248146651339</c:v>
                </c:pt>
                <c:pt idx="198">
                  <c:v>-99.912999401631424</c:v>
                </c:pt>
                <c:pt idx="199">
                  <c:v>-99.857374279874378</c:v>
                </c:pt>
                <c:pt idx="200">
                  <c:v>-99.802362592971519</c:v>
                </c:pt>
                <c:pt idx="201">
                  <c:v>-99.747954370472016</c:v>
                </c:pt>
                <c:pt idx="202">
                  <c:v>-99.694139854162486</c:v>
                </c:pt>
                <c:pt idx="203">
                  <c:v>-99.640909492522766</c:v>
                </c:pt>
                <c:pt idx="204">
                  <c:v>-99.58825393535264</c:v>
                </c:pt>
                <c:pt idx="205">
                  <c:v>-99.53616402856278</c:v>
                </c:pt>
                <c:pt idx="206">
                  <c:v>-99.484630809124326</c:v>
                </c:pt>
                <c:pt idx="207">
                  <c:v>-99.433645500171849</c:v>
                </c:pt>
                <c:pt idx="208">
                  <c:v>-99.383199506254073</c:v>
                </c:pt>
                <c:pt idx="209">
                  <c:v>-99.33328440872728</c:v>
                </c:pt>
                <c:pt idx="210">
                  <c:v>-99.283891961286756</c:v>
                </c:pt>
                <c:pt idx="211">
                  <c:v>-99.235014085631079</c:v>
                </c:pt>
                <c:pt idx="212">
                  <c:v>-99.186642867255472</c:v>
                </c:pt>
                <c:pt idx="213">
                  <c:v>-99.13877055136868</c:v>
                </c:pt>
                <c:pt idx="214">
                  <c:v>-99.091389538930542</c:v>
                </c:pt>
                <c:pt idx="215">
                  <c:v>-99.044492382805117</c:v>
                </c:pt>
                <c:pt idx="216">
                  <c:v>-98.998071784026109</c:v>
                </c:pt>
                <c:pt idx="217">
                  <c:v>-98.952120588170501</c:v>
                </c:pt>
                <c:pt idx="218">
                  <c:v>-98.906631781836992</c:v>
                </c:pt>
                <c:pt idx="219">
                  <c:v>-98.861598489225699</c:v>
                </c:pt>
                <c:pt idx="220">
                  <c:v>-98.8170139688159</c:v>
                </c:pt>
                <c:pt idx="221">
                  <c:v>-98.772871610138253</c:v>
                </c:pt>
                <c:pt idx="222">
                  <c:v>-98.729164930638845</c:v>
                </c:pt>
                <c:pt idx="223">
                  <c:v>-98.685887572631785</c:v>
                </c:pt>
                <c:pt idx="224">
                  <c:v>-98.643033300337734</c:v>
                </c:pt>
                <c:pt idx="225">
                  <c:v>-98.600595997004987</c:v>
                </c:pt>
                <c:pt idx="226">
                  <c:v>-98.197890299091313</c:v>
                </c:pt>
                <c:pt idx="227">
                  <c:v>-97.830938334116851</c:v>
                </c:pt>
                <c:pt idx="228">
                  <c:v>-97.495213018290144</c:v>
                </c:pt>
                <c:pt idx="229">
                  <c:v>-97.186915722346896</c:v>
                </c:pt>
                <c:pt idx="230">
                  <c:v>-96.902836314917337</c:v>
                </c:pt>
                <c:pt idx="231">
                  <c:v>-96.640244087823618</c:v>
                </c:pt>
                <c:pt idx="232">
                  <c:v>-96.396801941648732</c:v>
                </c:pt>
                <c:pt idx="233">
                  <c:v>-96.170498274065054</c:v>
                </c:pt>
                <c:pt idx="234">
                  <c:v>-95.959592472870838</c:v>
                </c:pt>
                <c:pt idx="235">
                  <c:v>-95.762570959926279</c:v>
                </c:pt>
                <c:pt idx="236">
                  <c:v>-95.578111487753958</c:v>
                </c:pt>
                <c:pt idx="237">
                  <c:v>-95.405053943066434</c:v>
                </c:pt>
                <c:pt idx="238">
                  <c:v>-95.242376319526869</c:v>
                </c:pt>
                <c:pt idx="239">
                  <c:v>-95.089174826247628</c:v>
                </c:pt>
                <c:pt idx="240">
                  <c:v>-94.944647327331666</c:v>
                </c:pt>
                <c:pt idx="241">
                  <c:v>-94.808079481299927</c:v>
                </c:pt>
                <c:pt idx="242">
                  <c:v>-94.67883308191719</c:v>
                </c:pt>
                <c:pt idx="243">
                  <c:v>-94.556336204119603</c:v>
                </c:pt>
                <c:pt idx="244">
                  <c:v>-94.440074838023008</c:v>
                </c:pt>
                <c:pt idx="245">
                  <c:v>-94.32958575590699</c:v>
                </c:pt>
                <c:pt idx="246">
                  <c:v>-94.224450405738395</c:v>
                </c:pt>
                <c:pt idx="247">
                  <c:v>-94.124289663289105</c:v>
                </c:pt>
                <c:pt idx="248">
                  <c:v>-94.028759305520609</c:v>
                </c:pt>
                <c:pt idx="249">
                  <c:v>-93.937546092399899</c:v>
                </c:pt>
                <c:pt idx="250">
                  <c:v>-93.850364364004477</c:v>
                </c:pt>
                <c:pt idx="251">
                  <c:v>-93.766953075692982</c:v>
                </c:pt>
                <c:pt idx="252">
                  <c:v>-93.687073207042289</c:v>
                </c:pt>
                <c:pt idx="253">
                  <c:v>-93.610505490800108</c:v>
                </c:pt>
                <c:pt idx="254">
                  <c:v>-93.537048416743005</c:v>
                </c:pt>
                <c:pt idx="255">
                  <c:v>-93.466516472443558</c:v>
                </c:pt>
                <c:pt idx="256">
                  <c:v>-93.398738588826362</c:v>
                </c:pt>
                <c:pt idx="257">
                  <c:v>-93.333556763268618</c:v>
                </c:pt>
                <c:pt idx="258">
                  <c:v>-93.270824837060431</c:v>
                </c:pt>
                <c:pt idx="259">
                  <c:v>-93.210407407431674</c:v>
                </c:pt>
                <c:pt idx="260">
                  <c:v>-93.152178857197711</c:v>
                </c:pt>
                <c:pt idx="261">
                  <c:v>-93.096022487469483</c:v>
                </c:pt>
                <c:pt idx="262">
                  <c:v>-93.041829740892936</c:v>
                </c:pt>
                <c:pt idx="263">
                  <c:v>-92.989499504594662</c:v>
                </c:pt>
                <c:pt idx="264">
                  <c:v>-92.93893748346153</c:v>
                </c:pt>
                <c:pt idx="265">
                  <c:v>-92.890055635620826</c:v>
                </c:pt>
                <c:pt idx="266">
                  <c:v>-92.842771663042711</c:v>
                </c:pt>
                <c:pt idx="267">
                  <c:v>-92.797008551092134</c:v>
                </c:pt>
                <c:pt idx="268">
                  <c:v>-92.752694151634643</c:v>
                </c:pt>
                <c:pt idx="269">
                  <c:v>-92.709760804968028</c:v>
                </c:pt>
                <c:pt idx="270">
                  <c:v>-92.668144996429845</c:v>
                </c:pt>
                <c:pt idx="271">
                  <c:v>-92.627787044029205</c:v>
                </c:pt>
                <c:pt idx="272">
                  <c:v>-92.588630813883924</c:v>
                </c:pt>
                <c:pt idx="273">
                  <c:v>-92.550623460620017</c:v>
                </c:pt>
                <c:pt idx="274">
                  <c:v>-92.513715190217511</c:v>
                </c:pt>
                <c:pt idx="275">
                  <c:v>-92.4778590430723</c:v>
                </c:pt>
                <c:pt idx="276">
                  <c:v>-92.443010695293239</c:v>
                </c:pt>
                <c:pt idx="277">
                  <c:v>-92.40912827647179</c:v>
                </c:pt>
                <c:pt idx="278">
                  <c:v>-92.376172202354354</c:v>
                </c:pt>
                <c:pt idx="279">
                  <c:v>-92.34410502101511</c:v>
                </c:pt>
                <c:pt idx="280">
                  <c:v>-92.312891271276499</c:v>
                </c:pt>
                <c:pt idx="281">
                  <c:v>-92.282497352255163</c:v>
                </c:pt>
                <c:pt idx="282">
                  <c:v>-92.252891403027377</c:v>
                </c:pt>
                <c:pt idx="283">
                  <c:v>-92.224043191510106</c:v>
                </c:pt>
                <c:pt idx="284">
                  <c:v>-92.195924011745404</c:v>
                </c:pt>
                <c:pt idx="285">
                  <c:v>-92.168506588856403</c:v>
                </c:pt>
                <c:pt idx="286">
                  <c:v>-92.141764991014753</c:v>
                </c:pt>
                <c:pt idx="287">
                  <c:v>-92.115674547824156</c:v>
                </c:pt>
                <c:pt idx="288">
                  <c:v>-92.090211774580794</c:v>
                </c:pt>
                <c:pt idx="289">
                  <c:v>-92.065354301923435</c:v>
                </c:pt>
                <c:pt idx="290">
                  <c:v>-92.041080810430898</c:v>
                </c:pt>
                <c:pt idx="291">
                  <c:v>-92.017370969766461</c:v>
                </c:pt>
                <c:pt idx="292">
                  <c:v>-91.994205382003841</c:v>
                </c:pt>
                <c:pt idx="293">
                  <c:v>-91.971565528804646</c:v>
                </c:pt>
                <c:pt idx="294">
                  <c:v>-91.949433722144448</c:v>
                </c:pt>
                <c:pt idx="295">
                  <c:v>-91.927793058313313</c:v>
                </c:pt>
                <c:pt idx="296">
                  <c:v>-91.906627374939376</c:v>
                </c:pt>
                <c:pt idx="297">
                  <c:v>-91.885921210806401</c:v>
                </c:pt>
                <c:pt idx="298">
                  <c:v>-91.865659768255981</c:v>
                </c:pt>
                <c:pt idx="299">
                  <c:v>-91.845828877982044</c:v>
                </c:pt>
                <c:pt idx="300">
                  <c:v>-91.826414966042833</c:v>
                </c:pt>
                <c:pt idx="301">
                  <c:v>-91.807405022928094</c:v>
                </c:pt>
                <c:pt idx="302">
                  <c:v>-91.788786574534839</c:v>
                </c:pt>
                <c:pt idx="303">
                  <c:v>-91.770547654914694</c:v>
                </c:pt>
                <c:pt idx="304">
                  <c:v>-91.752676780668722</c:v>
                </c:pt>
                <c:pt idx="305">
                  <c:v>-91.735162926874523</c:v>
                </c:pt>
                <c:pt idx="306">
                  <c:v>-91.7179955044395</c:v>
                </c:pt>
                <c:pt idx="307">
                  <c:v>-91.701164338783045</c:v>
                </c:pt>
                <c:pt idx="308">
                  <c:v>-91.68465964975735</c:v>
                </c:pt>
                <c:pt idx="309">
                  <c:v>-91.668472032723912</c:v>
                </c:pt>
                <c:pt idx="310">
                  <c:v>-91.652592440708702</c:v>
                </c:pt>
                <c:pt idx="311">
                  <c:v>-91.637012167565004</c:v>
                </c:pt>
                <c:pt idx="312">
                  <c:v>-91.621722832078277</c:v>
                </c:pt>
                <c:pt idx="313">
                  <c:v>-91.606716362952127</c:v>
                </c:pt>
                <c:pt idx="314">
                  <c:v>-91.591984984618762</c:v>
                </c:pt>
                <c:pt idx="315">
                  <c:v>-91.577521203821831</c:v>
                </c:pt>
                <c:pt idx="316">
                  <c:v>-91.563317796923002</c:v>
                </c:pt>
                <c:pt idx="317">
                  <c:v>-91.549367797886973</c:v>
                </c:pt>
                <c:pt idx="318">
                  <c:v>-91.535664486903258</c:v>
                </c:pt>
                <c:pt idx="319">
                  <c:v>-91.522201379605434</c:v>
                </c:pt>
                <c:pt idx="320">
                  <c:v>-91.508972216852086</c:v>
                </c:pt>
                <c:pt idx="321">
                  <c:v>-91.495970955034892</c:v>
                </c:pt>
                <c:pt idx="322">
                  <c:v>-91.48319175688296</c:v>
                </c:pt>
                <c:pt idx="323">
                  <c:v>-91.470628982733885</c:v>
                </c:pt>
                <c:pt idx="324">
                  <c:v>-91.458277182244117</c:v>
                </c:pt>
                <c:pt idx="325">
                  <c:v>-91.446131086512793</c:v>
                </c:pt>
                <c:pt idx="326">
                  <c:v>-91.434185600595825</c:v>
                </c:pt>
                <c:pt idx="327">
                  <c:v>-91.422435796387234</c:v>
                </c:pt>
                <c:pt idx="328">
                  <c:v>-91.410876905847047</c:v>
                </c:pt>
                <c:pt idx="329">
                  <c:v>-91.399504314556722</c:v>
                </c:pt>
                <c:pt idx="330">
                  <c:v>-91.388313555582812</c:v>
                </c:pt>
                <c:pt idx="331">
                  <c:v>-91.377300303632921</c:v>
                </c:pt>
                <c:pt idx="332">
                  <c:v>-91.366460369486944</c:v>
                </c:pt>
                <c:pt idx="333">
                  <c:v>-91.35578969468898</c:v>
                </c:pt>
                <c:pt idx="334">
                  <c:v>-91.345284346485911</c:v>
                </c:pt>
                <c:pt idx="335">
                  <c:v>-91.334940512998969</c:v>
                </c:pt>
                <c:pt idx="336">
                  <c:v>-91.324754498616358</c:v>
                </c:pt>
                <c:pt idx="337">
                  <c:v>-91.314722719594769</c:v>
                </c:pt>
                <c:pt idx="338">
                  <c:v>-91.304841699859239</c:v>
                </c:pt>
                <c:pt idx="339">
                  <c:v>-91.295108066990664</c:v>
                </c:pt>
                <c:pt idx="340">
                  <c:v>-91.285518548391337</c:v>
                </c:pt>
                <c:pt idx="341">
                  <c:v>-91.276069967619549</c:v>
                </c:pt>
                <c:pt idx="342">
                  <c:v>-91.266759240884539</c:v>
                </c:pt>
                <c:pt idx="343">
                  <c:v>-91.257583373693279</c:v>
                </c:pt>
                <c:pt idx="344">
                  <c:v>-91.248539457642366</c:v>
                </c:pt>
                <c:pt idx="345">
                  <c:v>-91.239624667346661</c:v>
                </c:pt>
                <c:pt idx="346">
                  <c:v>-91.230836257498808</c:v>
                </c:pt>
                <c:pt idx="347">
                  <c:v>-91.222171560052672</c:v>
                </c:pt>
                <c:pt idx="348">
                  <c:v>-91.213627981524937</c:v>
                </c:pt>
                <c:pt idx="349">
                  <c:v>-91.205203000408886</c:v>
                </c:pt>
                <c:pt idx="350">
                  <c:v>-91.196894164694982</c:v>
                </c:pt>
                <c:pt idx="351">
                  <c:v>-91.188699089493554</c:v>
                </c:pt>
                <c:pt idx="352">
                  <c:v>-91.180615454753934</c:v>
                </c:pt>
                <c:pt idx="353">
                  <c:v>-91.172641003076393</c:v>
                </c:pt>
                <c:pt idx="354">
                  <c:v>-91.164773537611694</c:v>
                </c:pt>
                <c:pt idx="355">
                  <c:v>-91.157010920044954</c:v>
                </c:pt>
                <c:pt idx="356">
                  <c:v>-91.149351068659101</c:v>
                </c:pt>
                <c:pt idx="357">
                  <c:v>-91.141791956475089</c:v>
                </c:pt>
                <c:pt idx="358">
                  <c:v>-91.134331609464709</c:v>
                </c:pt>
                <c:pt idx="359">
                  <c:v>-91.12696810483304</c:v>
                </c:pt>
                <c:pt idx="360">
                  <c:v>-91.119699569367313</c:v>
                </c:pt>
                <c:pt idx="361">
                  <c:v>-91.11252417784911</c:v>
                </c:pt>
                <c:pt idx="362">
                  <c:v>-91.105440151527432</c:v>
                </c:pt>
                <c:pt idx="363">
                  <c:v>-91.09844575664934</c:v>
                </c:pt>
                <c:pt idx="364">
                  <c:v>-91.091539303046389</c:v>
                </c:pt>
                <c:pt idx="365">
                  <c:v>-91.084719142773622</c:v>
                </c:pt>
                <c:pt idx="366">
                  <c:v>-91.077983668799462</c:v>
                </c:pt>
                <c:pt idx="367">
                  <c:v>-91.071331313744082</c:v>
                </c:pt>
                <c:pt idx="368">
                  <c:v>-91.064760548664097</c:v>
                </c:pt>
                <c:pt idx="369">
                  <c:v>-91.0582698818816</c:v>
                </c:pt>
                <c:pt idx="370">
                  <c:v>-91.051857857855993</c:v>
                </c:pt>
                <c:pt idx="371">
                  <c:v>-91.045523056096286</c:v>
                </c:pt>
                <c:pt idx="372">
                  <c:v>-91.039264090112525</c:v>
                </c:pt>
                <c:pt idx="373">
                  <c:v>-91.033079606404812</c:v>
                </c:pt>
                <c:pt idx="374">
                  <c:v>-91.026968283487861</c:v>
                </c:pt>
                <c:pt idx="375">
                  <c:v>-91.020928830950169</c:v>
                </c:pt>
                <c:pt idx="376">
                  <c:v>-91.014959988546195</c:v>
                </c:pt>
                <c:pt idx="377">
                  <c:v>-91.009060525319981</c:v>
                </c:pt>
                <c:pt idx="378">
                  <c:v>-91.003229238759459</c:v>
                </c:pt>
                <c:pt idx="379">
                  <c:v>-90.997464953979431</c:v>
                </c:pt>
                <c:pt idx="380">
                  <c:v>-90.991766522932991</c:v>
                </c:pt>
                <c:pt idx="381">
                  <c:v>-90.98613282364964</c:v>
                </c:pt>
                <c:pt idx="382">
                  <c:v>-90.980562759499065</c:v>
                </c:pt>
                <c:pt idx="383">
                  <c:v>-90.975055258479898</c:v>
                </c:pt>
                <c:pt idx="384">
                  <c:v>-90.969609272532267</c:v>
                </c:pt>
                <c:pt idx="385">
                  <c:v>-90.964223776873212</c:v>
                </c:pt>
                <c:pt idx="386">
                  <c:v>-90.958897769354053</c:v>
                </c:pt>
                <c:pt idx="387">
                  <c:v>-90.953630269838982</c:v>
                </c:pt>
                <c:pt idx="388">
                  <c:v>-90.948420319604153</c:v>
                </c:pt>
                <c:pt idx="389">
                  <c:v>-90.943266980756064</c:v>
                </c:pt>
                <c:pt idx="390">
                  <c:v>-90.938169335669045</c:v>
                </c:pt>
                <c:pt idx="391">
                  <c:v>-90.933126486440642</c:v>
                </c:pt>
                <c:pt idx="392">
                  <c:v>-90.928137554364824</c:v>
                </c:pt>
                <c:pt idx="393">
                  <c:v>-90.923201679421567</c:v>
                </c:pt>
                <c:pt idx="394">
                  <c:v>-90.918318019782774</c:v>
                </c:pt>
                <c:pt idx="395">
                  <c:v>-90.913485751334164</c:v>
                </c:pt>
                <c:pt idx="396">
                  <c:v>-90.908704067211389</c:v>
                </c:pt>
                <c:pt idx="397">
                  <c:v>-90.903972177351534</c:v>
                </c:pt>
                <c:pt idx="398">
                  <c:v>-90.899289308057732</c:v>
                </c:pt>
                <c:pt idx="399">
                  <c:v>-90.894654701577892</c:v>
                </c:pt>
                <c:pt idx="400">
                  <c:v>-90.890067615695884</c:v>
                </c:pt>
                <c:pt idx="401">
                  <c:v>-90.88552732333558</c:v>
                </c:pt>
                <c:pt idx="402">
                  <c:v>-90.881033112176794</c:v>
                </c:pt>
                <c:pt idx="403">
                  <c:v>-90.876584284282842</c:v>
                </c:pt>
                <c:pt idx="404">
                  <c:v>-90.872180155739287</c:v>
                </c:pt>
                <c:pt idx="405">
                  <c:v>-90.867820056303714</c:v>
                </c:pt>
                <c:pt idx="406">
                  <c:v>-90.863503329065722</c:v>
                </c:pt>
                <c:pt idx="407">
                  <c:v>-90.859229330117159</c:v>
                </c:pt>
                <c:pt idx="408">
                  <c:v>-90.854997428231925</c:v>
                </c:pt>
                <c:pt idx="409">
                  <c:v>-90.850807004555548</c:v>
                </c:pt>
                <c:pt idx="410">
                  <c:v>-90.846657452303319</c:v>
                </c:pt>
                <c:pt idx="411">
                  <c:v>-90.842548176467602</c:v>
                </c:pt>
                <c:pt idx="412">
                  <c:v>-90.838478593533637</c:v>
                </c:pt>
                <c:pt idx="413">
                  <c:v>-90.834448131203175</c:v>
                </c:pt>
                <c:pt idx="414">
                  <c:v>-90.830456228126494</c:v>
                </c:pt>
                <c:pt idx="415">
                  <c:v>-90.826502333641685</c:v>
                </c:pt>
                <c:pt idx="416">
                  <c:v>-90.822585907521642</c:v>
                </c:pt>
                <c:pt idx="417">
                  <c:v>-90.818706419727988</c:v>
                </c:pt>
                <c:pt idx="418">
                  <c:v>-90.814863350172061</c:v>
                </c:pt>
                <c:pt idx="419">
                  <c:v>-90.811056188482553</c:v>
                </c:pt>
                <c:pt idx="420">
                  <c:v>-90.807284433779685</c:v>
                </c:pt>
                <c:pt idx="421">
                  <c:v>-90.803547594455452</c:v>
                </c:pt>
                <c:pt idx="422">
                  <c:v>-90.79984518796023</c:v>
                </c:pt>
                <c:pt idx="423">
                  <c:v>-90.796176740595087</c:v>
                </c:pt>
                <c:pt idx="424">
                  <c:v>-90.792541787309787</c:v>
                </c:pt>
                <c:pt idx="425">
                  <c:v>-90.788939871506273</c:v>
                </c:pt>
                <c:pt idx="426">
                  <c:v>-90.785370544847623</c:v>
                </c:pt>
                <c:pt idx="427">
                  <c:v>-90.781833367071968</c:v>
                </c:pt>
                <c:pt idx="428">
                  <c:v>-90.778327905811679</c:v>
                </c:pt>
                <c:pt idx="429">
                  <c:v>-90.774853736416972</c:v>
                </c:pt>
                <c:pt idx="430">
                  <c:v>-90.771410441784781</c:v>
                </c:pt>
                <c:pt idx="431">
                  <c:v>-90.767997612191664</c:v>
                </c:pt>
                <c:pt idx="432">
                  <c:v>-90.764614845131334</c:v>
                </c:pt>
                <c:pt idx="433">
                  <c:v>-90.761261745156602</c:v>
                </c:pt>
                <c:pt idx="434">
                  <c:v>-90.757937923725109</c:v>
                </c:pt>
                <c:pt idx="435">
                  <c:v>-90.754642999049466</c:v>
                </c:pt>
                <c:pt idx="436">
                  <c:v>-90.751376595951001</c:v>
                </c:pt>
                <c:pt idx="437">
                  <c:v>-90.748138345717422</c:v>
                </c:pt>
                <c:pt idx="438">
                  <c:v>-90.744927885964117</c:v>
                </c:pt>
                <c:pt idx="439">
                  <c:v>-90.741744860498983</c:v>
                </c:pt>
                <c:pt idx="440">
                  <c:v>-90.738588919190676</c:v>
                </c:pt>
                <c:pt idx="441">
                  <c:v>-90.735459717840413</c:v>
                </c:pt>
                <c:pt idx="442">
                  <c:v>-90.732356918056652</c:v>
                </c:pt>
                <c:pt idx="443">
                  <c:v>-90.729280187133355</c:v>
                </c:pt>
                <c:pt idx="444">
                  <c:v>-90.726229197930891</c:v>
                </c:pt>
                <c:pt idx="445">
                  <c:v>-90.72320362876026</c:v>
                </c:pt>
                <c:pt idx="446">
                  <c:v>-90.720203163269929</c:v>
                </c:pt>
                <c:pt idx="447">
                  <c:v>-90.717227490335759</c:v>
                </c:pt>
                <c:pt idx="448">
                  <c:v>-90.714276303953369</c:v>
                </c:pt>
                <c:pt idx="449">
                  <c:v>-90.711349303133204</c:v>
                </c:pt>
                <c:pt idx="450">
                  <c:v>-90.708446191798402</c:v>
                </c:pt>
                <c:pt idx="451">
                  <c:v>-90.705566678684846</c:v>
                </c:pt>
                <c:pt idx="452">
                  <c:v>-90.702710477243826</c:v>
                </c:pt>
                <c:pt idx="453">
                  <c:v>-90.69987730554702</c:v>
                </c:pt>
                <c:pt idx="454">
                  <c:v>-90.697066886193639</c:v>
                </c:pt>
                <c:pt idx="455">
                  <c:v>-90.694278946220123</c:v>
                </c:pt>
                <c:pt idx="456">
                  <c:v>-90.691513217011547</c:v>
                </c:pt>
                <c:pt idx="457">
                  <c:v>-90.688769434215516</c:v>
                </c:pt>
                <c:pt idx="458">
                  <c:v>-90.686047337657897</c:v>
                </c:pt>
                <c:pt idx="459">
                  <c:v>-90.683346671260608</c:v>
                </c:pt>
                <c:pt idx="460">
                  <c:v>-90.6806671829614</c:v>
                </c:pt>
                <c:pt idx="461">
                  <c:v>-90.678008624635297</c:v>
                </c:pt>
                <c:pt idx="462">
                  <c:v>-90.675370752018154</c:v>
                </c:pt>
                <c:pt idx="463">
                  <c:v>-90.672753324631799</c:v>
                </c:pt>
                <c:pt idx="464">
                  <c:v>-90.670156105711015</c:v>
                </c:pt>
                <c:pt idx="465">
                  <c:v>-90.667578862132103</c:v>
                </c:pt>
                <c:pt idx="466">
                  <c:v>-90.665021364343175</c:v>
                </c:pt>
                <c:pt idx="467">
                  <c:v>-90.662483386296032</c:v>
                </c:pt>
                <c:pt idx="468">
                  <c:v>-90.659964705379494</c:v>
                </c:pt>
                <c:pt idx="469">
                  <c:v>-90.65746510235445</c:v>
                </c:pt>
                <c:pt idx="470">
                  <c:v>-90.654984361290118</c:v>
                </c:pt>
                <c:pt idx="471">
                  <c:v>-90.652522269502043</c:v>
                </c:pt>
                <c:pt idx="472">
                  <c:v>-90.650078617491161</c:v>
                </c:pt>
                <c:pt idx="473">
                  <c:v>-90.647653198884456</c:v>
                </c:pt>
                <c:pt idx="474">
                  <c:v>-90.645245810376863</c:v>
                </c:pt>
                <c:pt idx="475">
                  <c:v>-90.64285625167453</c:v>
                </c:pt>
                <c:pt idx="476">
                  <c:v>-90.640484325439175</c:v>
                </c:pt>
                <c:pt idx="477">
                  <c:v>-90.638129837233876</c:v>
                </c:pt>
                <c:pt idx="478">
                  <c:v>-90.635792595469823</c:v>
                </c:pt>
                <c:pt idx="479">
                  <c:v>-90.633472411354546</c:v>
                </c:pt>
                <c:pt idx="480">
                  <c:v>-90.631169098840857</c:v>
                </c:pt>
                <c:pt idx="481">
                  <c:v>-90.628882474577338</c:v>
                </c:pt>
                <c:pt idx="482">
                  <c:v>-90.626612357859514</c:v>
                </c:pt>
                <c:pt idx="483">
                  <c:v>-90.624358570582473</c:v>
                </c:pt>
                <c:pt idx="484">
                  <c:v>-90.622120937194097</c:v>
                </c:pt>
                <c:pt idx="485">
                  <c:v>-90.619899284649549</c:v>
                </c:pt>
                <c:pt idx="486">
                  <c:v>-90.617693442366786</c:v>
                </c:pt>
                <c:pt idx="487">
                  <c:v>-90.615503242182641</c:v>
                </c:pt>
                <c:pt idx="488">
                  <c:v>-90.613328518310425</c:v>
                </c:pt>
                <c:pt idx="489">
                  <c:v>-90.611169107297869</c:v>
                </c:pt>
                <c:pt idx="490">
                  <c:v>-90.60902484798622</c:v>
                </c:pt>
                <c:pt idx="491">
                  <c:v>-90.606895581470255</c:v>
                </c:pt>
                <c:pt idx="492">
                  <c:v>-90.604781151058916</c:v>
                </c:pt>
                <c:pt idx="493">
                  <c:v>-90.602681402236897</c:v>
                </c:pt>
                <c:pt idx="494">
                  <c:v>-90.6005961826271</c:v>
                </c:pt>
                <c:pt idx="495">
                  <c:v>-90.598525341953717</c:v>
                </c:pt>
                <c:pt idx="496">
                  <c:v>-90.596468732006059</c:v>
                </c:pt>
                <c:pt idx="497">
                  <c:v>-90.594426206603345</c:v>
                </c:pt>
                <c:pt idx="498">
                  <c:v>-90.592397621560053</c:v>
                </c:pt>
                <c:pt idx="499">
                  <c:v>-90.590382834651834</c:v>
                </c:pt>
                <c:pt idx="500">
                  <c:v>-90.588381705582449</c:v>
                </c:pt>
                <c:pt idx="501">
                  <c:v>-90.586394095951221</c:v>
                </c:pt>
                <c:pt idx="502">
                  <c:v>-90.584419869220895</c:v>
                </c:pt>
                <c:pt idx="503">
                  <c:v>-90.582458890686794</c:v>
                </c:pt>
                <c:pt idx="504">
                  <c:v>-90.580511027445681</c:v>
                </c:pt>
                <c:pt idx="505">
                  <c:v>-90.578576148366182</c:v>
                </c:pt>
                <c:pt idx="506">
                  <c:v>-90.576654124059118</c:v>
                </c:pt>
                <c:pt idx="507">
                  <c:v>-90.574744826848701</c:v>
                </c:pt>
                <c:pt idx="508">
                  <c:v>-90.572848130744305</c:v>
                </c:pt>
                <c:pt idx="509">
                  <c:v>-90.57096391141279</c:v>
                </c:pt>
                <c:pt idx="510">
                  <c:v>-90.569092046151198</c:v>
                </c:pt>
                <c:pt idx="511">
                  <c:v>-90.567232413860353</c:v>
                </c:pt>
                <c:pt idx="512">
                  <c:v>-90.565384895018497</c:v>
                </c:pt>
                <c:pt idx="513">
                  <c:v>-90.563549371655796</c:v>
                </c:pt>
                <c:pt idx="514">
                  <c:v>-90.561725727329303</c:v>
                </c:pt>
                <c:pt idx="515">
                  <c:v>-90.559913847098215</c:v>
                </c:pt>
                <c:pt idx="516">
                  <c:v>-90.55811361749987</c:v>
                </c:pt>
                <c:pt idx="517">
                  <c:v>-90.556324926525861</c:v>
                </c:pt>
                <c:pt idx="518">
                  <c:v>-90.554547663599038</c:v>
                </c:pt>
                <c:pt idx="519">
                  <c:v>-90.552781719550552</c:v>
                </c:pt>
                <c:pt idx="520">
                  <c:v>-90.551026986597563</c:v>
                </c:pt>
                <c:pt idx="521">
                  <c:v>-90.549283358321375</c:v>
                </c:pt>
                <c:pt idx="522">
                  <c:v>-90.547550729645792</c:v>
                </c:pt>
                <c:pt idx="523">
                  <c:v>-90.545828996816141</c:v>
                </c:pt>
                <c:pt idx="524">
                  <c:v>-90.544118057378483</c:v>
                </c:pt>
                <c:pt idx="525">
                  <c:v>-90.542417810159407</c:v>
                </c:pt>
                <c:pt idx="526">
                  <c:v>-90.54072815524583</c:v>
                </c:pt>
                <c:pt idx="527">
                  <c:v>-90.539048993965778</c:v>
                </c:pt>
                <c:pt idx="528">
                  <c:v>-90.537380228868912</c:v>
                </c:pt>
                <c:pt idx="529">
                  <c:v>-90.535721763707798</c:v>
                </c:pt>
                <c:pt idx="530">
                  <c:v>-90.534073503419407</c:v>
                </c:pt>
                <c:pt idx="531">
                  <c:v>-90.532435354106852</c:v>
                </c:pt>
                <c:pt idx="532">
                  <c:v>-90.530807223021725</c:v>
                </c:pt>
                <c:pt idx="533">
                  <c:v>-90.529189018546376</c:v>
                </c:pt>
                <c:pt idx="534">
                  <c:v>-90.527580650177001</c:v>
                </c:pt>
                <c:pt idx="535">
                  <c:v>-90.525982028506533</c:v>
                </c:pt>
                <c:pt idx="536">
                  <c:v>-90.524393065208187</c:v>
                </c:pt>
                <c:pt idx="537">
                  <c:v>-90.522813673019272</c:v>
                </c:pt>
                <c:pt idx="538">
                  <c:v>-90.521243765724918</c:v>
                </c:pt>
                <c:pt idx="539">
                  <c:v>-90.519683258142805</c:v>
                </c:pt>
                <c:pt idx="540">
                  <c:v>-90.518132066107412</c:v>
                </c:pt>
                <c:pt idx="541">
                  <c:v>-90.516590106455098</c:v>
                </c:pt>
                <c:pt idx="542">
                  <c:v>-90.51505729700915</c:v>
                </c:pt>
                <c:pt idx="543">
                  <c:v>-90.513533556565179</c:v>
                </c:pt>
                <c:pt idx="544">
                  <c:v>-90.512018804876845</c:v>
                </c:pt>
                <c:pt idx="545">
                  <c:v>-90.510512962641698</c:v>
                </c:pt>
                <c:pt idx="546">
                  <c:v>-90.509015951487399</c:v>
                </c:pt>
                <c:pt idx="547">
                  <c:v>-90.507527693958068</c:v>
                </c:pt>
                <c:pt idx="548">
                  <c:v>-90.506048113501009</c:v>
                </c:pt>
                <c:pt idx="549">
                  <c:v>-90.504577134453498</c:v>
                </c:pt>
                <c:pt idx="550">
                  <c:v>-90.503114682029889</c:v>
                </c:pt>
                <c:pt idx="551">
                  <c:v>-90.501660682309051</c:v>
                </c:pt>
                <c:pt idx="552">
                  <c:v>-90.500215062221855</c:v>
                </c:pt>
                <c:pt idx="553">
                  <c:v>-90.498777749538803</c:v>
                </c:pt>
                <c:pt idx="554">
                  <c:v>-90.497348672858209</c:v>
                </c:pt>
                <c:pt idx="555">
                  <c:v>-90.49592776159426</c:v>
                </c:pt>
                <c:pt idx="556">
                  <c:v>-90.49451494596542</c:v>
                </c:pt>
                <c:pt idx="557">
                  <c:v>-90.493110156983008</c:v>
                </c:pt>
                <c:pt idx="558">
                  <c:v>-90.491713326439935</c:v>
                </c:pt>
                <c:pt idx="559">
                  <c:v>-90.490324386899786</c:v>
                </c:pt>
                <c:pt idx="560">
                  <c:v>-90.488943271685798</c:v>
                </c:pt>
                <c:pt idx="561">
                  <c:v>-90.487569914870306</c:v>
                </c:pt>
                <c:pt idx="562">
                  <c:v>-90.486204251264212</c:v>
                </c:pt>
                <c:pt idx="563">
                  <c:v>-90.484846216406737</c:v>
                </c:pt>
                <c:pt idx="564">
                  <c:v>-90.483495746555135</c:v>
                </c:pt>
                <c:pt idx="565">
                  <c:v>-90.482152778674873</c:v>
                </c:pt>
                <c:pt idx="566">
                  <c:v>-90.480817250429766</c:v>
                </c:pt>
                <c:pt idx="567">
                  <c:v>-90.479489100172287</c:v>
                </c:pt>
                <c:pt idx="568">
                  <c:v>-90.478168266934162</c:v>
                </c:pt>
                <c:pt idx="569">
                  <c:v>-90.476854690416999</c:v>
                </c:pt>
                <c:pt idx="570">
                  <c:v>-90.475548310983086</c:v>
                </c:pt>
                <c:pt idx="571">
                  <c:v>-90.47424906964649</c:v>
                </c:pt>
                <c:pt idx="572">
                  <c:v>-90.472956908063949</c:v>
                </c:pt>
                <c:pt idx="573">
                  <c:v>-90.471671768526434</c:v>
                </c:pt>
                <c:pt idx="574">
                  <c:v>-90.470393593950234</c:v>
                </c:pt>
                <c:pt idx="575">
                  <c:v>-90.469122327868845</c:v>
                </c:pt>
                <c:pt idx="576">
                  <c:v>-90.467857914424386</c:v>
                </c:pt>
                <c:pt idx="577">
                  <c:v>-90.466600298359509</c:v>
                </c:pt>
                <c:pt idx="578">
                  <c:v>-90.465349425009435</c:v>
                </c:pt>
                <c:pt idx="579">
                  <c:v>-90.464105240293918</c:v>
                </c:pt>
                <c:pt idx="580">
                  <c:v>-90.462867690709402</c:v>
                </c:pt>
                <c:pt idx="581">
                  <c:v>-90.461636723321632</c:v>
                </c:pt>
                <c:pt idx="582">
                  <c:v>-90.460412285757798</c:v>
                </c:pt>
                <c:pt idx="583">
                  <c:v>-90.45919432619921</c:v>
                </c:pt>
                <c:pt idx="584">
                  <c:v>-90.457982793374029</c:v>
                </c:pt>
                <c:pt idx="585">
                  <c:v>-90.4567776365501</c:v>
                </c:pt>
                <c:pt idx="586">
                  <c:v>-90.455578805527793</c:v>
                </c:pt>
                <c:pt idx="587">
                  <c:v>-90.454386250633007</c:v>
                </c:pt>
                <c:pt idx="588">
                  <c:v>-90.453199922710454</c:v>
                </c:pt>
                <c:pt idx="589">
                  <c:v>-90.45201977311676</c:v>
                </c:pt>
                <c:pt idx="590">
                  <c:v>-90.450845753713878</c:v>
                </c:pt>
                <c:pt idx="591">
                  <c:v>-90.449677816862547</c:v>
                </c:pt>
                <c:pt idx="592">
                  <c:v>-90.448515915415868</c:v>
                </c:pt>
                <c:pt idx="593">
                  <c:v>-90.447360002712855</c:v>
                </c:pt>
                <c:pt idx="594">
                  <c:v>-90.446210032572424</c:v>
                </c:pt>
                <c:pt idx="595">
                  <c:v>-90.445065959286865</c:v>
                </c:pt>
                <c:pt idx="596">
                  <c:v>-90.443927737616207</c:v>
                </c:pt>
                <c:pt idx="597">
                  <c:v>-90.442795322781919</c:v>
                </c:pt>
                <c:pt idx="598">
                  <c:v>-90.441668670461283</c:v>
                </c:pt>
                <c:pt idx="599">
                  <c:v>-90.44054773678144</c:v>
                </c:pt>
                <c:pt idx="600">
                  <c:v>-90.439432478313748</c:v>
                </c:pt>
                <c:pt idx="601">
                  <c:v>-90.438322852068254</c:v>
                </c:pt>
                <c:pt idx="602">
                  <c:v>-90.437218815488052</c:v>
                </c:pt>
                <c:pt idx="603">
                  <c:v>-90.436120326443898</c:v>
                </c:pt>
                <c:pt idx="604">
                  <c:v>-90.435027343228853</c:v>
                </c:pt>
                <c:pt idx="605">
                  <c:v>-90.433939824552994</c:v>
                </c:pt>
                <c:pt idx="606">
                  <c:v>-90.385726133400993</c:v>
                </c:pt>
                <c:pt idx="607">
                  <c:v>-90.34715470483718</c:v>
                </c:pt>
                <c:pt idx="608">
                  <c:v>-90.315595980701417</c:v>
                </c:pt>
                <c:pt idx="609">
                  <c:v>-90.289296867511041</c:v>
                </c:pt>
                <c:pt idx="610">
                  <c:v>-90.267043657011882</c:v>
                </c:pt>
                <c:pt idx="611">
                  <c:v>-90.247969399374426</c:v>
                </c:pt>
                <c:pt idx="612">
                  <c:v>-90.231438322585646</c:v>
                </c:pt>
                <c:pt idx="613">
                  <c:v>-90.2169735923747</c:v>
                </c:pt>
                <c:pt idx="614">
                  <c:v>-90.204210567512078</c:v>
                </c:pt>
                <c:pt idx="615">
                  <c:v>-90.192865636071573</c:v>
                </c:pt>
                <c:pt idx="616">
                  <c:v>-90.182714892534946</c:v>
                </c:pt>
                <c:pt idx="617">
                  <c:v>-90.173579211569134</c:v>
                </c:pt>
                <c:pt idx="618">
                  <c:v>-90.170175719845801</c:v>
                </c:pt>
                <c:pt idx="619">
                  <c:v>-90.166903130291672</c:v>
                </c:pt>
                <c:pt idx="620">
                  <c:v>-90.163754033449635</c:v>
                </c:pt>
                <c:pt idx="621">
                  <c:v>-90.160721568702257</c:v>
                </c:pt>
                <c:pt idx="622">
                  <c:v>-90.157799374378328</c:v>
                </c:pt>
                <c:pt idx="623">
                  <c:v>-90.154981543204769</c:v>
                </c:pt>
                <c:pt idx="624">
                  <c:v>-90.152262582447932</c:v>
                </c:pt>
                <c:pt idx="625">
                  <c:v>-90.149637378177999</c:v>
                </c:pt>
                <c:pt idx="626">
                  <c:v>-90.147101163167576</c:v>
                </c:pt>
                <c:pt idx="627">
                  <c:v>-90.144649488000198</c:v>
                </c:pt>
                <c:pt idx="628">
                  <c:v>-90.142278195020737</c:v>
                </c:pt>
                <c:pt idx="629">
                  <c:v>-90.139983394806535</c:v>
                </c:pt>
                <c:pt idx="630">
                  <c:v>-90.137761444879459</c:v>
                </c:pt>
                <c:pt idx="631">
                  <c:v>-90.135608930413611</c:v>
                </c:pt>
                <c:pt idx="632">
                  <c:v>-90.133522646723932</c:v>
                </c:pt>
                <c:pt idx="633">
                  <c:v>-90.13149958334651</c:v>
                </c:pt>
                <c:pt idx="634">
                  <c:v>-90.129536909544797</c:v>
                </c:pt>
                <c:pt idx="635">
                  <c:v>-90.127631961094437</c:v>
                </c:pt>
                <c:pt idx="636">
                  <c:v>-90.12578222821729</c:v>
                </c:pt>
                <c:pt idx="637">
                  <c:v>-90.123985344549808</c:v>
                </c:pt>
                <c:pt idx="638">
                  <c:v>-90.122239077043361</c:v>
                </c:pt>
                <c:pt idx="639">
                  <c:v>-90.120541316706507</c:v>
                </c:pt>
                <c:pt idx="640">
                  <c:v>-90.118890070107909</c:v>
                </c:pt>
                <c:pt idx="641">
                  <c:v>-90.117283451568412</c:v>
                </c:pt>
                <c:pt idx="642">
                  <c:v>-90.115719675977516</c:v>
                </c:pt>
                <c:pt idx="643">
                  <c:v>-90.114197052177175</c:v>
                </c:pt>
                <c:pt idx="644">
                  <c:v>-90.11271397686096</c:v>
                </c:pt>
                <c:pt idx="645">
                  <c:v>-90.111268928942692</c:v>
                </c:pt>
                <c:pt idx="646">
                  <c:v>-90.109860464352636</c:v>
                </c:pt>
                <c:pt idx="647">
                  <c:v>-90.108487211224016</c:v>
                </c:pt>
                <c:pt idx="648">
                  <c:v>-90.107147865436048</c:v>
                </c:pt>
                <c:pt idx="649">
                  <c:v>-90.105841186483161</c:v>
                </c:pt>
                <c:pt idx="650">
                  <c:v>-90.104565993642794</c:v>
                </c:pt>
                <c:pt idx="651">
                  <c:v>-90.103321162416876</c:v>
                </c:pt>
                <c:pt idx="652">
                  <c:v>-90.102105621224524</c:v>
                </c:pt>
                <c:pt idx="653">
                  <c:v>-90.100918348325592</c:v>
                </c:pt>
                <c:pt idx="654">
                  <c:v>-90.099758368956145</c:v>
                </c:pt>
                <c:pt idx="655">
                  <c:v>-90.098624752659404</c:v>
                </c:pt>
                <c:pt idx="656">
                  <c:v>-90.09751661079666</c:v>
                </c:pt>
                <c:pt idx="657">
                  <c:v>-90.096433094224025</c:v>
                </c:pt>
                <c:pt idx="658">
                  <c:v>-90.095373391122436</c:v>
                </c:pt>
                <c:pt idx="659">
                  <c:v>-90.094336724969097</c:v>
                </c:pt>
                <c:pt idx="660">
                  <c:v>-90.093322352639802</c:v>
                </c:pt>
                <c:pt idx="661">
                  <c:v>-90.092329562632543</c:v>
                </c:pt>
                <c:pt idx="662">
                  <c:v>-90.091357673403138</c:v>
                </c:pt>
                <c:pt idx="663">
                  <c:v>-90.090406031804889</c:v>
                </c:pt>
                <c:pt idx="664">
                  <c:v>-90.089474011624944</c:v>
                </c:pt>
                <c:pt idx="665">
                  <c:v>-90.088561012209894</c:v>
                </c:pt>
                <c:pt idx="666">
                  <c:v>-90.087666457175203</c:v>
                </c:pt>
                <c:pt idx="667">
                  <c:v>-90.086789793191429</c:v>
                </c:pt>
              </c:numCache>
            </c:numRef>
          </c:yVal>
          <c:smooth val="0"/>
          <c:extLst>
            <c:ext xmlns:c16="http://schemas.microsoft.com/office/drawing/2014/chart" uri="{C3380CC4-5D6E-409C-BE32-E72D297353CC}">
              <c16:uniqueId val="{00000001-601F-4798-A1E3-D3F97A11E6A7}"/>
            </c:ext>
          </c:extLst>
        </c:ser>
        <c:dLbls>
          <c:showLegendKey val="0"/>
          <c:showVal val="0"/>
          <c:showCatName val="0"/>
          <c:showSerName val="0"/>
          <c:showPercent val="0"/>
          <c:showBubbleSize val="0"/>
        </c:dLbls>
        <c:axId val="151566208"/>
        <c:axId val="151567744"/>
      </c:scatterChart>
      <c:valAx>
        <c:axId val="1515580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564288"/>
        <c:crossesAt val="-120"/>
        <c:crossBetween val="midCat"/>
      </c:valAx>
      <c:valAx>
        <c:axId val="15156428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558016"/>
        <c:crosses val="autoZero"/>
        <c:crossBetween val="midCat"/>
      </c:valAx>
      <c:valAx>
        <c:axId val="151566208"/>
        <c:scaling>
          <c:logBase val="10"/>
          <c:orientation val="minMax"/>
        </c:scaling>
        <c:delete val="1"/>
        <c:axPos val="b"/>
        <c:numFmt formatCode="General" sourceLinked="1"/>
        <c:majorTickMark val="out"/>
        <c:minorTickMark val="none"/>
        <c:tickLblPos val="none"/>
        <c:crossAx val="151567744"/>
        <c:crosses val="autoZero"/>
        <c:crossBetween val="midCat"/>
      </c:valAx>
      <c:valAx>
        <c:axId val="15156774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566208"/>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56.448262293008469</c:v>
                </c:pt>
                <c:pt idx="1">
                  <c:v>55.959659817356588</c:v>
                </c:pt>
                <c:pt idx="2">
                  <c:v>55.250623643527312</c:v>
                </c:pt>
                <c:pt idx="3">
                  <c:v>54.419602472063858</c:v>
                </c:pt>
                <c:pt idx="4">
                  <c:v>53.542092476153513</c:v>
                </c:pt>
                <c:pt idx="5">
                  <c:v>52.665685110985301</c:v>
                </c:pt>
                <c:pt idx="6">
                  <c:v>51.816469681526847</c:v>
                </c:pt>
                <c:pt idx="7">
                  <c:v>51.006845157685916</c:v>
                </c:pt>
                <c:pt idx="8">
                  <c:v>50.24134031771829</c:v>
                </c:pt>
                <c:pt idx="9">
                  <c:v>49.520261434039455</c:v>
                </c:pt>
                <c:pt idx="10">
                  <c:v>44.185941073137194</c:v>
                </c:pt>
                <c:pt idx="11">
                  <c:v>40.804505617422876</c:v>
                </c:pt>
                <c:pt idx="12">
                  <c:v>38.356532222149397</c:v>
                </c:pt>
                <c:pt idx="13">
                  <c:v>36.442680104018585</c:v>
                </c:pt>
                <c:pt idx="14">
                  <c:v>34.873010750501216</c:v>
                </c:pt>
                <c:pt idx="15">
                  <c:v>33.543212614638477</c:v>
                </c:pt>
                <c:pt idx="16">
                  <c:v>32.390037876049277</c:v>
                </c:pt>
                <c:pt idx="17">
                  <c:v>31.372302668371972</c:v>
                </c:pt>
                <c:pt idx="18">
                  <c:v>30.461712876468479</c:v>
                </c:pt>
                <c:pt idx="19">
                  <c:v>24.482096859213812</c:v>
                </c:pt>
                <c:pt idx="20">
                  <c:v>21.016613506131975</c:v>
                </c:pt>
                <c:pt idx="21">
                  <c:v>18.594545887450394</c:v>
                </c:pt>
                <c:pt idx="22">
                  <c:v>16.753474287563645</c:v>
                </c:pt>
                <c:pt idx="23">
                  <c:v>15.286802446754237</c:v>
                </c:pt>
                <c:pt idx="24">
                  <c:v>14.083812040134392</c:v>
                </c:pt>
                <c:pt idx="25">
                  <c:v>13.077942043940967</c:v>
                </c:pt>
                <c:pt idx="26">
                  <c:v>12.225822532313686</c:v>
                </c:pt>
                <c:pt idx="27">
                  <c:v>11.497441217945184</c:v>
                </c:pt>
                <c:pt idx="28">
                  <c:v>9.1061071630283958</c:v>
                </c:pt>
                <c:pt idx="29">
                  <c:v>7.9636130122946414</c:v>
                </c:pt>
                <c:pt idx="30">
                  <c:v>7.4923640773870073</c:v>
                </c:pt>
                <c:pt idx="31">
                  <c:v>7.4067489969591076</c:v>
                </c:pt>
                <c:pt idx="32">
                  <c:v>7.5475054059482547</c:v>
                </c:pt>
                <c:pt idx="33">
                  <c:v>7.8209839921929047</c:v>
                </c:pt>
                <c:pt idx="34">
                  <c:v>8.1705168416557061</c:v>
                </c:pt>
                <c:pt idx="35">
                  <c:v>8.5611931422830025</c:v>
                </c:pt>
                <c:pt idx="36">
                  <c:v>8.9712584330837473</c:v>
                </c:pt>
                <c:pt idx="37">
                  <c:v>9.3870787957630988</c:v>
                </c:pt>
                <c:pt idx="38">
                  <c:v>9.8001167328513219</c:v>
                </c:pt>
                <c:pt idx="39">
                  <c:v>10.205077625336356</c:v>
                </c:pt>
                <c:pt idx="40">
                  <c:v>10.598753420498522</c:v>
                </c:pt>
                <c:pt idx="41">
                  <c:v>10.979289881248864</c:v>
                </c:pt>
                <c:pt idx="42">
                  <c:v>11.345715715991261</c:v>
                </c:pt>
                <c:pt idx="43">
                  <c:v>11.69763624890545</c:v>
                </c:pt>
                <c:pt idx="44">
                  <c:v>12.035032009568766</c:v>
                </c:pt>
                <c:pt idx="45">
                  <c:v>12.35812513564229</c:v>
                </c:pt>
                <c:pt idx="46">
                  <c:v>12.667290147920344</c:v>
                </c:pt>
                <c:pt idx="47">
                  <c:v>12.962994082540488</c:v>
                </c:pt>
                <c:pt idx="48">
                  <c:v>13.245756237226459</c:v>
                </c:pt>
                <c:pt idx="49">
                  <c:v>13.516121133582955</c:v>
                </c:pt>
                <c:pt idx="50">
                  <c:v>13.774640447923304</c:v>
                </c:pt>
                <c:pt idx="51">
                  <c:v>14.021861062600532</c:v>
                </c:pt>
                <c:pt idx="52">
                  <c:v>14.258317311044493</c:v>
                </c:pt>
                <c:pt idx="53">
                  <c:v>14.484526102583388</c:v>
                </c:pt>
                <c:pt idx="54">
                  <c:v>14.700984024869951</c:v>
                </c:pt>
                <c:pt idx="55">
                  <c:v>14.908165800841759</c:v>
                </c:pt>
                <c:pt idx="56">
                  <c:v>15.106523667896674</c:v>
                </c:pt>
                <c:pt idx="57">
                  <c:v>15.29648737829101</c:v>
                </c:pt>
                <c:pt idx="58">
                  <c:v>15.478464610774518</c:v>
                </c:pt>
                <c:pt idx="59">
                  <c:v>15.652841646900789</c:v>
                </c:pt>
                <c:pt idx="60">
                  <c:v>15.819984209867265</c:v>
                </c:pt>
                <c:pt idx="61">
                  <c:v>15.980238394963385</c:v>
                </c:pt>
                <c:pt idx="62">
                  <c:v>16.133931642720079</c:v>
                </c:pt>
                <c:pt idx="63">
                  <c:v>16.281373721402964</c:v>
                </c:pt>
                <c:pt idx="64">
                  <c:v>16.422857696480254</c:v>
                </c:pt>
                <c:pt idx="65">
                  <c:v>16.558660872454908</c:v>
                </c:pt>
                <c:pt idx="66">
                  <c:v>16.689045697914334</c:v>
                </c:pt>
                <c:pt idx="67">
                  <c:v>16.814260628479573</c:v>
                </c:pt>
                <c:pt idx="68">
                  <c:v>16.934540944999018</c:v>
                </c:pt>
                <c:pt idx="69">
                  <c:v>17.050109526161478</c:v>
                </c:pt>
                <c:pt idx="70">
                  <c:v>17.161177575940609</c:v>
                </c:pt>
                <c:pt idx="71">
                  <c:v>17.267945307096163</c:v>
                </c:pt>
                <c:pt idx="72">
                  <c:v>17.370602582472053</c:v>
                </c:pt>
                <c:pt idx="73">
                  <c:v>17.469329516133993</c:v>
                </c:pt>
                <c:pt idx="74">
                  <c:v>17.564297036544666</c:v>
                </c:pt>
                <c:pt idx="75">
                  <c:v>17.655667414027793</c:v>
                </c:pt>
                <c:pt idx="76">
                  <c:v>17.743594754756341</c:v>
                </c:pt>
                <c:pt idx="77">
                  <c:v>17.828225463439122</c:v>
                </c:pt>
                <c:pt idx="78">
                  <c:v>17.90969867678967</c:v>
                </c:pt>
                <c:pt idx="79">
                  <c:v>17.988146669754212</c:v>
                </c:pt>
                <c:pt idx="80">
                  <c:v>18.06369523635987</c:v>
                </c:pt>
                <c:pt idx="81">
                  <c:v>18.136464046925656</c:v>
                </c:pt>
                <c:pt idx="82">
                  <c:v>18.206566983261066</c:v>
                </c:pt>
                <c:pt idx="83">
                  <c:v>18.274112453363106</c:v>
                </c:pt>
                <c:pt idx="84">
                  <c:v>18.339203687013651</c:v>
                </c:pt>
                <c:pt idx="85">
                  <c:v>18.401939013575955</c:v>
                </c:pt>
                <c:pt idx="86">
                  <c:v>18.462412123193054</c:v>
                </c:pt>
                <c:pt idx="87">
                  <c:v>18.520712312500947</c:v>
                </c:pt>
                <c:pt idx="88">
                  <c:v>18.576924715886207</c:v>
                </c:pt>
                <c:pt idx="89">
                  <c:v>18.631130523241133</c:v>
                </c:pt>
                <c:pt idx="90">
                  <c:v>18.68340718509852</c:v>
                </c:pt>
                <c:pt idx="91">
                  <c:v>18.733828605963211</c:v>
                </c:pt>
                <c:pt idx="92">
                  <c:v>18.782465326597475</c:v>
                </c:pt>
                <c:pt idx="93">
                  <c:v>18.829384695962496</c:v>
                </c:pt>
                <c:pt idx="94">
                  <c:v>18.874651033467586</c:v>
                </c:pt>
                <c:pt idx="95">
                  <c:v>18.918325782132278</c:v>
                </c:pt>
                <c:pt idx="96">
                  <c:v>18.960467653223933</c:v>
                </c:pt>
                <c:pt idx="97">
                  <c:v>19.001132762894102</c:v>
                </c:pt>
                <c:pt idx="98">
                  <c:v>19.040374761300843</c:v>
                </c:pt>
                <c:pt idx="99">
                  <c:v>19.078244954670982</c:v>
                </c:pt>
                <c:pt idx="100">
                  <c:v>19.114792420725593</c:v>
                </c:pt>
                <c:pt idx="101">
                  <c:v>19.150064117863639</c:v>
                </c:pt>
                <c:pt idx="102">
                  <c:v>19.18410498847275</c:v>
                </c:pt>
                <c:pt idx="103">
                  <c:v>19.216958056711839</c:v>
                </c:pt>
                <c:pt idx="104">
                  <c:v>19.248664521087882</c:v>
                </c:pt>
                <c:pt idx="105">
                  <c:v>19.279263842128628</c:v>
                </c:pt>
                <c:pt idx="106">
                  <c:v>19.308793825433636</c:v>
                </c:pt>
                <c:pt idx="107">
                  <c:v>19.337290700368349</c:v>
                </c:pt>
                <c:pt idx="108">
                  <c:v>19.36478919464923</c:v>
                </c:pt>
                <c:pt idx="109">
                  <c:v>19.391322605052729</c:v>
                </c:pt>
                <c:pt idx="110">
                  <c:v>19.416922864466382</c:v>
                </c:pt>
                <c:pt idx="111">
                  <c:v>19.441620605487046</c:v>
                </c:pt>
                <c:pt idx="112">
                  <c:v>19.465445220758856</c:v>
                </c:pt>
                <c:pt idx="113">
                  <c:v>19.488424920231854</c:v>
                </c:pt>
                <c:pt idx="114">
                  <c:v>19.510586785511315</c:v>
                </c:pt>
                <c:pt idx="115">
                  <c:v>19.531956821457829</c:v>
                </c:pt>
                <c:pt idx="116">
                  <c:v>19.552560005188539</c:v>
                </c:pt>
                <c:pt idx="117">
                  <c:v>19.57242033262122</c:v>
                </c:pt>
                <c:pt idx="118">
                  <c:v>19.591560862694514</c:v>
                </c:pt>
                <c:pt idx="119">
                  <c:v>19.610003759389873</c:v>
                </c:pt>
                <c:pt idx="120">
                  <c:v>19.62777033167351</c:v>
                </c:pt>
                <c:pt idx="121">
                  <c:v>19.644881071469754</c:v>
                </c:pt>
                <c:pt idx="122">
                  <c:v>19.661355689770957</c:v>
                </c:pt>
                <c:pt idx="123">
                  <c:v>19.677213150982908</c:v>
                </c:pt>
                <c:pt idx="124">
                  <c:v>19.692471705599242</c:v>
                </c:pt>
                <c:pt idx="125">
                  <c:v>19.707148921292866</c:v>
                </c:pt>
                <c:pt idx="126">
                  <c:v>19.721261712507616</c:v>
                </c:pt>
                <c:pt idx="127">
                  <c:v>19.734826368628532</c:v>
                </c:pt>
                <c:pt idx="128">
                  <c:v>19.747858580804941</c:v>
                </c:pt>
                <c:pt idx="129">
                  <c:v>19.760373467496112</c:v>
                </c:pt>
                <c:pt idx="130">
                  <c:v>19.772385598805705</c:v>
                </c:pt>
                <c:pt idx="131">
                  <c:v>19.783909019667256</c:v>
                </c:pt>
                <c:pt idx="132">
                  <c:v>19.794957271939765</c:v>
                </c:pt>
                <c:pt idx="133">
                  <c:v>19.805543415469003</c:v>
                </c:pt>
                <c:pt idx="134">
                  <c:v>19.815680048167287</c:v>
                </c:pt>
                <c:pt idx="135">
                  <c:v>19.825379325161439</c:v>
                </c:pt>
                <c:pt idx="136">
                  <c:v>19.834652977055974</c:v>
                </c:pt>
                <c:pt idx="137">
                  <c:v>19.843512327356226</c:v>
                </c:pt>
                <c:pt idx="138">
                  <c:v>19.85196830909328</c:v>
                </c:pt>
                <c:pt idx="139">
                  <c:v>19.860031480690768</c:v>
                </c:pt>
                <c:pt idx="140">
                  <c:v>19.867712041111133</c:v>
                </c:pt>
                <c:pt idx="141">
                  <c:v>19.875019844317162</c:v>
                </c:pt>
                <c:pt idx="142">
                  <c:v>19.881964413082475</c:v>
                </c:pt>
                <c:pt idx="143">
                  <c:v>19.888554952183085</c:v>
                </c:pt>
                <c:pt idx="144">
                  <c:v>19.894800361000275</c:v>
                </c:pt>
                <c:pt idx="145">
                  <c:v>19.90070924556359</c:v>
                </c:pt>
                <c:pt idx="146">
                  <c:v>19.906289930061007</c:v>
                </c:pt>
                <c:pt idx="147">
                  <c:v>19.911550467842325</c:v>
                </c:pt>
                <c:pt idx="148">
                  <c:v>19.916498651939889</c:v>
                </c:pt>
                <c:pt idx="149">
                  <c:v>19.921142025130131</c:v>
                </c:pt>
                <c:pt idx="150">
                  <c:v>19.925487889557711</c:v>
                </c:pt>
                <c:pt idx="151">
                  <c:v>19.92954331594315</c:v>
                </c:pt>
                <c:pt idx="152">
                  <c:v>19.933315152393753</c:v>
                </c:pt>
                <c:pt idx="153">
                  <c:v>19.936810032836529</c:v>
                </c:pt>
                <c:pt idx="154">
                  <c:v>19.940034385090947</c:v>
                </c:pt>
                <c:pt idx="155">
                  <c:v>19.942994438598397</c:v>
                </c:pt>
                <c:pt idx="156">
                  <c:v>19.945696231824378</c:v>
                </c:pt>
                <c:pt idx="157">
                  <c:v>19.948145619348686</c:v>
                </c:pt>
                <c:pt idx="158">
                  <c:v>19.950348278658051</c:v>
                </c:pt>
                <c:pt idx="159">
                  <c:v>19.952309716654881</c:v>
                </c:pt>
                <c:pt idx="160">
                  <c:v>19.954035275895251</c:v>
                </c:pt>
                <c:pt idx="161">
                  <c:v>19.955530140568602</c:v>
                </c:pt>
                <c:pt idx="162">
                  <c:v>19.956799342230624</c:v>
                </c:pt>
                <c:pt idx="163">
                  <c:v>19.957847765300968</c:v>
                </c:pt>
                <c:pt idx="164">
                  <c:v>19.958680152336072</c:v>
                </c:pt>
                <c:pt idx="165">
                  <c:v>19.959301109087381</c:v>
                </c:pt>
                <c:pt idx="166">
                  <c:v>19.959715109354651</c:v>
                </c:pt>
                <c:pt idx="167">
                  <c:v>19.959926499643313</c:v>
                </c:pt>
                <c:pt idx="168">
                  <c:v>19.959939503634804</c:v>
                </c:pt>
                <c:pt idx="169">
                  <c:v>19.959758226478066</c:v>
                </c:pt>
                <c:pt idx="170">
                  <c:v>19.959386658910113</c:v>
                </c:pt>
                <c:pt idx="171">
                  <c:v>19.958828681213234</c:v>
                </c:pt>
                <c:pt idx="172">
                  <c:v>19.95808806701589</c:v>
                </c:pt>
                <c:pt idx="173">
                  <c:v>19.957168486944266</c:v>
                </c:pt>
                <c:pt idx="174">
                  <c:v>19.956073512130835</c:v>
                </c:pt>
                <c:pt idx="175">
                  <c:v>19.954806617586172</c:v>
                </c:pt>
                <c:pt idx="176">
                  <c:v>19.953371185439998</c:v>
                </c:pt>
                <c:pt idx="177">
                  <c:v>19.951770508056875</c:v>
                </c:pt>
                <c:pt idx="178">
                  <c:v>19.950007791032121</c:v>
                </c:pt>
                <c:pt idx="179">
                  <c:v>19.948086156072929</c:v>
                </c:pt>
                <c:pt idx="180">
                  <c:v>19.946008643769524</c:v>
                </c:pt>
                <c:pt idx="181">
                  <c:v>19.94377821626118</c:v>
                </c:pt>
                <c:pt idx="182">
                  <c:v>19.941397759801301</c:v>
                </c:pt>
                <c:pt idx="183">
                  <c:v>19.938870087225958</c:v>
                </c:pt>
                <c:pt idx="184">
                  <c:v>19.936197940329819</c:v>
                </c:pt>
                <c:pt idx="185">
                  <c:v>19.933383992153459</c:v>
                </c:pt>
                <c:pt idx="186">
                  <c:v>19.930430849185441</c:v>
                </c:pt>
                <c:pt idx="187">
                  <c:v>19.927341053483072</c:v>
                </c:pt>
                <c:pt idx="188">
                  <c:v>19.924117084714823</c:v>
                </c:pt>
                <c:pt idx="189">
                  <c:v>19.920761362127827</c:v>
                </c:pt>
                <c:pt idx="190">
                  <c:v>19.91727624644345</c:v>
                </c:pt>
                <c:pt idx="191">
                  <c:v>19.913664041683848</c:v>
                </c:pt>
                <c:pt idx="192">
                  <c:v>19.909926996932292</c:v>
                </c:pt>
                <c:pt idx="193">
                  <c:v>19.906067308029964</c:v>
                </c:pt>
                <c:pt idx="194">
                  <c:v>19.90208711921176</c:v>
                </c:pt>
                <c:pt idx="195">
                  <c:v>19.897988524683537</c:v>
                </c:pt>
                <c:pt idx="196">
                  <c:v>19.8937735701431</c:v>
                </c:pt>
                <c:pt idx="197">
                  <c:v>19.889444254247234</c:v>
                </c:pt>
                <c:pt idx="198">
                  <c:v>19.88500253002686</c:v>
                </c:pt>
                <c:pt idx="199">
                  <c:v>19.880450306252364</c:v>
                </c:pt>
                <c:pt idx="200">
                  <c:v>19.87578944875105</c:v>
                </c:pt>
                <c:pt idx="201">
                  <c:v>19.871021781678628</c:v>
                </c:pt>
                <c:pt idx="202">
                  <c:v>19.866149088746468</c:v>
                </c:pt>
                <c:pt idx="203">
                  <c:v>19.861173114406334</c:v>
                </c:pt>
                <c:pt idx="204">
                  <c:v>19.856095564994348</c:v>
                </c:pt>
                <c:pt idx="205">
                  <c:v>19.850918109835575</c:v>
                </c:pt>
                <c:pt idx="206">
                  <c:v>19.845642382310878</c:v>
                </c:pt>
                <c:pt idx="207">
                  <c:v>19.840269980887456</c:v>
                </c:pt>
                <c:pt idx="208">
                  <c:v>19.834802470114376</c:v>
                </c:pt>
                <c:pt idx="209">
                  <c:v>19.82924138158452</c:v>
                </c:pt>
                <c:pt idx="210">
                  <c:v>19.823588214864177</c:v>
                </c:pt>
                <c:pt idx="211">
                  <c:v>19.817844438391422</c:v>
                </c:pt>
                <c:pt idx="212">
                  <c:v>19.812011490344599</c:v>
                </c:pt>
                <c:pt idx="213">
                  <c:v>19.806090779481917</c:v>
                </c:pt>
                <c:pt idx="214">
                  <c:v>19.800083685953254</c:v>
                </c:pt>
                <c:pt idx="215">
                  <c:v>19.793991562085196</c:v>
                </c:pt>
                <c:pt idx="216">
                  <c:v>19.787815733140356</c:v>
                </c:pt>
                <c:pt idx="217">
                  <c:v>19.781557498051782</c:v>
                </c:pt>
                <c:pt idx="218">
                  <c:v>19.775218130133574</c:v>
                </c:pt>
                <c:pt idx="219">
                  <c:v>19.768798877768351</c:v>
                </c:pt>
                <c:pt idx="220">
                  <c:v>19.76230096507259</c:v>
                </c:pt>
                <c:pt idx="221">
                  <c:v>19.755725592540529</c:v>
                </c:pt>
                <c:pt idx="222">
                  <c:v>19.749073937667472</c:v>
                </c:pt>
                <c:pt idx="223">
                  <c:v>19.74234715555319</c:v>
                </c:pt>
                <c:pt idx="224">
                  <c:v>19.735546379486188</c:v>
                </c:pt>
                <c:pt idx="225">
                  <c:v>19.728672721509422</c:v>
                </c:pt>
                <c:pt idx="226">
                  <c:v>19.65615814295067</c:v>
                </c:pt>
                <c:pt idx="227">
                  <c:v>19.577439947165395</c:v>
                </c:pt>
                <c:pt idx="228">
                  <c:v>19.493351488551575</c:v>
                </c:pt>
                <c:pt idx="229">
                  <c:v>19.404600976082975</c:v>
                </c:pt>
                <c:pt idx="230">
                  <c:v>19.311796542951615</c:v>
                </c:pt>
                <c:pt idx="231">
                  <c:v>19.215465174864399</c:v>
                </c:pt>
                <c:pt idx="232">
                  <c:v>19.116067178805348</c:v>
                </c:pt>
                <c:pt idx="233">
                  <c:v>19.014007379255332</c:v>
                </c:pt>
                <c:pt idx="234">
                  <c:v>18.909643888462316</c:v>
                </c:pt>
                <c:pt idx="235">
                  <c:v>18.803295060507946</c:v>
                </c:pt>
                <c:pt idx="236">
                  <c:v>18.69524507236931</c:v>
                </c:pt>
                <c:pt idx="237">
                  <c:v>18.585748456909542</c:v>
                </c:pt>
                <c:pt idx="238">
                  <c:v>18.475033827986064</c:v>
                </c:pt>
                <c:pt idx="239">
                  <c:v>18.363306976628085</c:v>
                </c:pt>
                <c:pt idx="240">
                  <c:v>18.25075347263823</c:v>
                </c:pt>
                <c:pt idx="241">
                  <c:v>18.13754087325848</c:v>
                </c:pt>
                <c:pt idx="242">
                  <c:v>18.023820616378284</c:v>
                </c:pt>
                <c:pt idx="243">
                  <c:v>17.90972965780097</c:v>
                </c:pt>
                <c:pt idx="244">
                  <c:v>17.795391898650514</c:v>
                </c:pt>
                <c:pt idx="245">
                  <c:v>17.680919438891557</c:v>
                </c:pt>
                <c:pt idx="246">
                  <c:v>17.566413685284189</c:v>
                </c:pt>
                <c:pt idx="247">
                  <c:v>17.451966336269024</c:v>
                </c:pt>
                <c:pt idx="248">
                  <c:v>17.337660261815216</c:v>
                </c:pt>
                <c:pt idx="249">
                  <c:v>17.223570292824281</c:v>
                </c:pt>
                <c:pt idx="250">
                  <c:v>17.109763932013667</c:v>
                </c:pt>
                <c:pt idx="251">
                  <c:v>16.996301996119239</c:v>
                </c:pt>
                <c:pt idx="252">
                  <c:v>16.883239197615186</c:v>
                </c:pt>
                <c:pt idx="253">
                  <c:v>16.770624672849074</c:v>
                </c:pt>
                <c:pt idx="254">
                  <c:v>16.658502462449473</c:v>
                </c:pt>
                <c:pt idx="255">
                  <c:v>16.546911949024988</c:v>
                </c:pt>
                <c:pt idx="256">
                  <c:v>16.435888256490905</c:v>
                </c:pt>
                <c:pt idx="257">
                  <c:v>16.325462614799292</c:v>
                </c:pt>
                <c:pt idx="258">
                  <c:v>16.215662693383827</c:v>
                </c:pt>
                <c:pt idx="259">
                  <c:v>16.106512906241722</c:v>
                </c:pt>
                <c:pt idx="260">
                  <c:v>15.998034691246865</c:v>
                </c:pt>
                <c:pt idx="261">
                  <c:v>15.890246766008364</c:v>
                </c:pt>
                <c:pt idx="262">
                  <c:v>15.783165362348139</c:v>
                </c:pt>
                <c:pt idx="263">
                  <c:v>15.676804441262796</c:v>
                </c:pt>
                <c:pt idx="264">
                  <c:v>15.571175890052844</c:v>
                </c:pt>
                <c:pt idx="265">
                  <c:v>15.466289703142618</c:v>
                </c:pt>
                <c:pt idx="266">
                  <c:v>15.36215414797236</c:v>
                </c:pt>
                <c:pt idx="267">
                  <c:v>15.258775917218458</c:v>
                </c:pt>
                <c:pt idx="268">
                  <c:v>15.156160268485158</c:v>
                </c:pt>
                <c:pt idx="269">
                  <c:v>15.054311152510259</c:v>
                </c:pt>
                <c:pt idx="270">
                  <c:v>14.953231330836408</c:v>
                </c:pt>
                <c:pt idx="271">
                  <c:v>14.852922483817617</c:v>
                </c:pt>
                <c:pt idx="272">
                  <c:v>14.753385309756181</c:v>
                </c:pt>
                <c:pt idx="273">
                  <c:v>14.654619615897822</c:v>
                </c:pt>
                <c:pt idx="274">
                  <c:v>14.556624401951499</c:v>
                </c:pt>
                <c:pt idx="275">
                  <c:v>14.459397936744429</c:v>
                </c:pt>
                <c:pt idx="276">
                  <c:v>14.362937828571951</c:v>
                </c:pt>
                <c:pt idx="277">
                  <c:v>14.267241089755389</c:v>
                </c:pt>
                <c:pt idx="278">
                  <c:v>14.172304195878407</c:v>
                </c:pt>
                <c:pt idx="279">
                  <c:v>14.078123140133727</c:v>
                </c:pt>
                <c:pt idx="280">
                  <c:v>13.984693483176345</c:v>
                </c:pt>
                <c:pt idx="281">
                  <c:v>13.892010398846846</c:v>
                </c:pt>
                <c:pt idx="282">
                  <c:v>13.800068716098723</c:v>
                </c:pt>
                <c:pt idx="283">
                  <c:v>13.708862957436111</c:v>
                </c:pt>
                <c:pt idx="284">
                  <c:v>13.618387374143534</c:v>
                </c:pt>
                <c:pt idx="285">
                  <c:v>13.528635978566058</c:v>
                </c:pt>
                <c:pt idx="286">
                  <c:v>13.439602573677458</c:v>
                </c:pt>
                <c:pt idx="287">
                  <c:v>13.351280780154539</c:v>
                </c:pt>
                <c:pt idx="288">
                  <c:v>13.263664061158115</c:v>
                </c:pt>
                <c:pt idx="289">
                  <c:v>13.176745745004869</c:v>
                </c:pt>
                <c:pt idx="290">
                  <c:v>13.090519045899551</c:v>
                </c:pt>
                <c:pt idx="291">
                  <c:v>13.004977082883084</c:v>
                </c:pt>
                <c:pt idx="292">
                  <c:v>12.920112897139797</c:v>
                </c:pt>
                <c:pt idx="293">
                  <c:v>12.835919467795359</c:v>
                </c:pt>
                <c:pt idx="294">
                  <c:v>12.752389726326463</c:v>
                </c:pt>
                <c:pt idx="295">
                  <c:v>12.669516569693632</c:v>
                </c:pt>
                <c:pt idx="296">
                  <c:v>12.587292872299496</c:v>
                </c:pt>
                <c:pt idx="297">
                  <c:v>12.505711496866791</c:v>
                </c:pt>
                <c:pt idx="298">
                  <c:v>12.424765304322818</c:v>
                </c:pt>
                <c:pt idx="299">
                  <c:v>12.344447162770066</c:v>
                </c:pt>
                <c:pt idx="300">
                  <c:v>12.26474995561653</c:v>
                </c:pt>
                <c:pt idx="301">
                  <c:v>12.185666588933229</c:v>
                </c:pt>
                <c:pt idx="302">
                  <c:v>12.107189998101241</c:v>
                </c:pt>
                <c:pt idx="303">
                  <c:v>12.02931315380548</c:v>
                </c:pt>
                <c:pt idx="304">
                  <c:v>11.952029067428056</c:v>
                </c:pt>
                <c:pt idx="305">
                  <c:v>11.87533079588974</c:v>
                </c:pt>
                <c:pt idx="306">
                  <c:v>11.799211445984358</c:v>
                </c:pt>
                <c:pt idx="307">
                  <c:v>11.723664178247283</c:v>
                </c:pt>
                <c:pt idx="308">
                  <c:v>11.648682210396084</c:v>
                </c:pt>
                <c:pt idx="309">
                  <c:v>11.574258820378255</c:v>
                </c:pt>
                <c:pt idx="310">
                  <c:v>11.500387349058315</c:v>
                </c:pt>
                <c:pt idx="311">
                  <c:v>11.427061202573999</c:v>
                </c:pt>
                <c:pt idx="312">
                  <c:v>11.354273854388888</c:v>
                </c:pt>
                <c:pt idx="313">
                  <c:v>11.282018847066769</c:v>
                </c:pt>
                <c:pt idx="314">
                  <c:v>11.21028979379094</c:v>
                </c:pt>
                <c:pt idx="315">
                  <c:v>11.139080379649954</c:v>
                </c:pt>
                <c:pt idx="316">
                  <c:v>11.0683843627095</c:v>
                </c:pt>
                <c:pt idx="317">
                  <c:v>10.998195574888728</c:v>
                </c:pt>
                <c:pt idx="318">
                  <c:v>10.928507922657735</c:v>
                </c:pt>
                <c:pt idx="319">
                  <c:v>10.859315387571717</c:v>
                </c:pt>
                <c:pt idx="320">
                  <c:v>10.790612026656119</c:v>
                </c:pt>
                <c:pt idx="321">
                  <c:v>10.722391972655812</c:v>
                </c:pt>
                <c:pt idx="322">
                  <c:v>10.654649434160541</c:v>
                </c:pt>
                <c:pt idx="323">
                  <c:v>10.587378695617801</c:v>
                </c:pt>
                <c:pt idx="324">
                  <c:v>10.52057411724334</c:v>
                </c:pt>
                <c:pt idx="325">
                  <c:v>10.454230134838909</c:v>
                </c:pt>
                <c:pt idx="326">
                  <c:v>10.388341259525953</c:v>
                </c:pt>
                <c:pt idx="327">
                  <c:v>10.322902077403269</c:v>
                </c:pt>
                <c:pt idx="328">
                  <c:v>10.257907249136107</c:v>
                </c:pt>
                <c:pt idx="329">
                  <c:v>10.193351509483517</c:v>
                </c:pt>
                <c:pt idx="330">
                  <c:v>10.129229666770245</c:v>
                </c:pt>
                <c:pt idx="331">
                  <c:v>10.065536602308987</c:v>
                </c:pt>
                <c:pt idx="332">
                  <c:v>10.002267269778276</c:v>
                </c:pt>
                <c:pt idx="333">
                  <c:v>9.9394166945610234</c:v>
                </c:pt>
                <c:pt idx="334">
                  <c:v>9.8769799730481012</c:v>
                </c:pt>
                <c:pt idx="335">
                  <c:v>9.8149522719111797</c:v>
                </c:pt>
                <c:pt idx="336">
                  <c:v>9.7533288273486605</c:v>
                </c:pt>
                <c:pt idx="337">
                  <c:v>9.6921049443081326</c:v>
                </c:pt>
                <c:pt idx="338">
                  <c:v>9.6312759956886342</c:v>
                </c:pt>
                <c:pt idx="339">
                  <c:v>9.5708374215256331</c:v>
                </c:pt>
                <c:pt idx="340">
                  <c:v>9.5107847281614681</c:v>
                </c:pt>
                <c:pt idx="341">
                  <c:v>9.4511134874037079</c:v>
                </c:pt>
                <c:pt idx="342">
                  <c:v>9.3918193356737021</c:v>
                </c:pt>
                <c:pt idx="343">
                  <c:v>9.3328979731473964</c:v>
                </c:pt>
                <c:pt idx="344">
                  <c:v>9.2743451628903752</c:v>
                </c:pt>
                <c:pt idx="345">
                  <c:v>9.2161567299887821</c:v>
                </c:pt>
                <c:pt idx="346">
                  <c:v>9.1583285606777523</c:v>
                </c:pt>
                <c:pt idx="347">
                  <c:v>9.1008566014687968</c:v>
                </c:pt>
                <c:pt idx="348">
                  <c:v>9.0437368582774962</c:v>
                </c:pt>
                <c:pt idx="349">
                  <c:v>8.9869653955525717</c:v>
                </c:pt>
                <c:pt idx="350">
                  <c:v>8.93053833540759</c:v>
                </c:pt>
                <c:pt idx="351">
                  <c:v>8.874451856756167</c:v>
                </c:pt>
                <c:pt idx="352">
                  <c:v>8.818702194451582</c:v>
                </c:pt>
                <c:pt idx="353">
                  <c:v>8.7632856384316753</c:v>
                </c:pt>
                <c:pt idx="354">
                  <c:v>8.7081985328696039</c:v>
                </c:pt>
                <c:pt idx="355">
                  <c:v>8.6534372753313189</c:v>
                </c:pt>
                <c:pt idx="356">
                  <c:v>8.5989983159401024</c:v>
                </c:pt>
                <c:pt idx="357">
                  <c:v>8.5448781565489025</c:v>
                </c:pt>
                <c:pt idx="358">
                  <c:v>8.4910733499207822</c:v>
                </c:pt>
                <c:pt idx="359">
                  <c:v>8.4375804989179279</c:v>
                </c:pt>
                <c:pt idx="360">
                  <c:v>8.3843962556996328</c:v>
                </c:pt>
                <c:pt idx="361">
                  <c:v>8.3315173209294464</c:v>
                </c:pt>
                <c:pt idx="362">
                  <c:v>8.2789404429919315</c:v>
                </c:pt>
                <c:pt idx="363">
                  <c:v>8.2266624172190674</c:v>
                </c:pt>
                <c:pt idx="364">
                  <c:v>8.174680085126667</c:v>
                </c:pt>
                <c:pt idx="365">
                  <c:v>8.1229903336608693</c:v>
                </c:pt>
                <c:pt idx="366">
                  <c:v>8.0715900944548871</c:v>
                </c:pt>
                <c:pt idx="367">
                  <c:v>8.0204763430961137</c:v>
                </c:pt>
                <c:pt idx="368">
                  <c:v>7.9696460984036541</c:v>
                </c:pt>
                <c:pt idx="369">
                  <c:v>7.9190964217163815</c:v>
                </c:pt>
                <c:pt idx="370">
                  <c:v>7.8688244161915168</c:v>
                </c:pt>
                <c:pt idx="371">
                  <c:v>7.8188272261137906</c:v>
                </c:pt>
                <c:pt idx="372">
                  <c:v>7.7691020362151475</c:v>
                </c:pt>
                <c:pt idx="373">
                  <c:v>7.7196460710050454</c:v>
                </c:pt>
                <c:pt idx="374">
                  <c:v>7.6704565941112595</c:v>
                </c:pt>
                <c:pt idx="375">
                  <c:v>7.6215309076312092</c:v>
                </c:pt>
                <c:pt idx="376">
                  <c:v>7.5728663514937002</c:v>
                </c:pt>
                <c:pt idx="377">
                  <c:v>7.5244603028310788</c:v>
                </c:pt>
                <c:pt idx="378">
                  <c:v>7.4763101753617045</c:v>
                </c:pt>
                <c:pt idx="379">
                  <c:v>7.4284134187826112</c:v>
                </c:pt>
                <c:pt idx="380">
                  <c:v>7.3807675181724015</c:v>
                </c:pt>
                <c:pt idx="381">
                  <c:v>7.3333699934041157</c:v>
                </c:pt>
                <c:pt idx="382">
                  <c:v>7.2862183985681126</c:v>
                </c:pt>
                <c:pt idx="383">
                  <c:v>7.2393103214047896</c:v>
                </c:pt>
                <c:pt idx="384">
                  <c:v>7.1926433827470193</c:v>
                </c:pt>
                <c:pt idx="385">
                  <c:v>7.146215235972261</c:v>
                </c:pt>
                <c:pt idx="386">
                  <c:v>7.1000235664641362</c:v>
                </c:pt>
                <c:pt idx="387">
                  <c:v>7.0540660910834401</c:v>
                </c:pt>
                <c:pt idx="388">
                  <c:v>7.0083405576483591</c:v>
                </c:pt>
                <c:pt idx="389">
                  <c:v>6.9628447444239008</c:v>
                </c:pt>
                <c:pt idx="390">
                  <c:v>6.9175764596202827</c:v>
                </c:pt>
                <c:pt idx="391">
                  <c:v>6.8725335409002053</c:v>
                </c:pt>
                <c:pt idx="392">
                  <c:v>6.8277138548949079</c:v>
                </c:pt>
                <c:pt idx="393">
                  <c:v>6.7831152967288304</c:v>
                </c:pt>
                <c:pt idx="394">
                  <c:v>6.7387357895527416</c:v>
                </c:pt>
                <c:pt idx="395">
                  <c:v>6.694573284085255</c:v>
                </c:pt>
                <c:pt idx="396">
                  <c:v>6.650625758162553</c:v>
                </c:pt>
                <c:pt idx="397">
                  <c:v>6.6068912162961899</c:v>
                </c:pt>
                <c:pt idx="398">
                  <c:v>6.5633676892388753</c:v>
                </c:pt>
                <c:pt idx="399">
                  <c:v>6.5200532335580617</c:v>
                </c:pt>
                <c:pt idx="400">
                  <c:v>6.4769459312172355</c:v>
                </c:pt>
                <c:pt idx="401">
                  <c:v>6.43404388916478</c:v>
                </c:pt>
                <c:pt idx="402">
                  <c:v>6.391345238930243</c:v>
                </c:pt>
                <c:pt idx="403">
                  <c:v>6.3488481362279323</c:v>
                </c:pt>
                <c:pt idx="404">
                  <c:v>6.3065507605676974</c:v>
                </c:pt>
                <c:pt idx="405">
                  <c:v>6.2644513148727219</c:v>
                </c:pt>
                <c:pt idx="406">
                  <c:v>6.2225480251042793</c:v>
                </c:pt>
                <c:pt idx="407">
                  <c:v>6.1808391398932621</c:v>
                </c:pt>
                <c:pt idx="408">
                  <c:v>6.1393229301784018</c:v>
                </c:pt>
                <c:pt idx="409">
                  <c:v>6.0979976888510343</c:v>
                </c:pt>
                <c:pt idx="410">
                  <c:v>6.0568617304063288</c:v>
                </c:pt>
                <c:pt idx="411">
                  <c:v>6.015913390600792</c:v>
                </c:pt>
                <c:pt idx="412">
                  <c:v>5.9751510261160021</c:v>
                </c:pt>
                <c:pt idx="413">
                  <c:v>5.9345730142284294</c:v>
                </c:pt>
                <c:pt idx="414">
                  <c:v>5.8941777524852128</c:v>
                </c:pt>
                <c:pt idx="415">
                  <c:v>5.8539636583858199</c:v>
                </c:pt>
                <c:pt idx="416">
                  <c:v>5.8139291690694321</c:v>
                </c:pt>
                <c:pt idx="417">
                  <c:v>5.7740727410079895</c:v>
                </c:pt>
                <c:pt idx="418">
                  <c:v>5.7343928497047836</c:v>
                </c:pt>
                <c:pt idx="419">
                  <c:v>5.6948879893984481</c:v>
                </c:pt>
                <c:pt idx="420">
                  <c:v>5.6555566727723026</c:v>
                </c:pt>
                <c:pt idx="421">
                  <c:v>5.6163974306689104</c:v>
                </c:pt>
                <c:pt idx="422">
                  <c:v>5.5774088118097858</c:v>
                </c:pt>
                <c:pt idx="423">
                  <c:v>5.5385893825200894</c:v>
                </c:pt>
                <c:pt idx="424">
                  <c:v>5.4999377264583069</c:v>
                </c:pt>
                <c:pt idx="425">
                  <c:v>5.4614524443507069</c:v>
                </c:pt>
                <c:pt idx="426">
                  <c:v>5.4231321537305934</c:v>
                </c:pt>
                <c:pt idx="427">
                  <c:v>5.3849754886821897</c:v>
                </c:pt>
                <c:pt idx="428">
                  <c:v>5.3469810995890903</c:v>
                </c:pt>
                <c:pt idx="429">
                  <c:v>5.3091476528871731</c:v>
                </c:pt>
                <c:pt idx="430">
                  <c:v>5.2714738308219298</c:v>
                </c:pt>
                <c:pt idx="431">
                  <c:v>5.2339583312100775</c:v>
                </c:pt>
                <c:pt idx="432">
                  <c:v>5.1965998672053946</c:v>
                </c:pt>
                <c:pt idx="433">
                  <c:v>5.1593971670686987</c:v>
                </c:pt>
                <c:pt idx="434">
                  <c:v>5.1223489739419126</c:v>
                </c:pt>
                <c:pt idx="435">
                  <c:v>5.0854540456260366</c:v>
                </c:pt>
                <c:pt idx="436">
                  <c:v>5.0487111543630974</c:v>
                </c:pt>
                <c:pt idx="437">
                  <c:v>5.012119086621909</c:v>
                </c:pt>
                <c:pt idx="438">
                  <c:v>4.9756766428875467</c:v>
                </c:pt>
                <c:pt idx="439">
                  <c:v>4.939382637454564</c:v>
                </c:pt>
                <c:pt idx="440">
                  <c:v>4.9032358982237643</c:v>
                </c:pt>
                <c:pt idx="441">
                  <c:v>4.8672352665025436</c:v>
                </c:pt>
                <c:pt idx="442">
                  <c:v>4.8313795968087145</c:v>
                </c:pt>
                <c:pt idx="443">
                  <c:v>4.7956677566776857</c:v>
                </c:pt>
                <c:pt idx="444">
                  <c:v>4.7600986264730345</c:v>
                </c:pt>
                <c:pt idx="445">
                  <c:v>4.7246710992003287</c:v>
                </c:pt>
                <c:pt idx="446">
                  <c:v>4.6893840803241673</c:v>
                </c:pt>
                <c:pt idx="447">
                  <c:v>4.6542364875883413</c:v>
                </c:pt>
                <c:pt idx="448">
                  <c:v>4.619227250839133</c:v>
                </c:pt>
                <c:pt idx="449">
                  <c:v>4.5843553118516081</c:v>
                </c:pt>
                <c:pt idx="450">
                  <c:v>4.549619624158888</c:v>
                </c:pt>
                <c:pt idx="451">
                  <c:v>4.5150191528843466</c:v>
                </c:pt>
                <c:pt idx="452">
                  <c:v>4.4805528745766292</c:v>
                </c:pt>
                <c:pt idx="453">
                  <c:v>4.4462197770475305</c:v>
                </c:pt>
                <c:pt idx="454">
                  <c:v>4.4120188592125622</c:v>
                </c:pt>
                <c:pt idx="455">
                  <c:v>4.3779491309342786</c:v>
                </c:pt>
                <c:pt idx="456">
                  <c:v>4.3440096128681791</c:v>
                </c:pt>
                <c:pt idx="457">
                  <c:v>4.3101993363112703</c:v>
                </c:pt>
                <c:pt idx="458">
                  <c:v>4.2765173430531265</c:v>
                </c:pt>
                <c:pt idx="459">
                  <c:v>4.24296268522947</c:v>
                </c:pt>
                <c:pt idx="460">
                  <c:v>4.2095344251781901</c:v>
                </c:pt>
                <c:pt idx="461">
                  <c:v>4.1762316352977766</c:v>
                </c:pt>
                <c:pt idx="462">
                  <c:v>4.1430533979080995</c:v>
                </c:pt>
                <c:pt idx="463">
                  <c:v>4.1099988051135101</c:v>
                </c:pt>
                <c:pt idx="464">
                  <c:v>4.0770669586681967</c:v>
                </c:pt>
                <c:pt idx="465">
                  <c:v>4.0442569698437705</c:v>
                </c:pt>
                <c:pt idx="466">
                  <c:v>4.0115679592990672</c:v>
                </c:pt>
                <c:pt idx="467">
                  <c:v>3.9789990569520359</c:v>
                </c:pt>
                <c:pt idx="468">
                  <c:v>3.9465494018537743</c:v>
                </c:pt>
                <c:pt idx="469">
                  <c:v>3.9142181420646125</c:v>
                </c:pt>
                <c:pt idx="470">
                  <c:v>3.8820044345322118</c:v>
                </c:pt>
                <c:pt idx="471">
                  <c:v>3.8499074449716786</c:v>
                </c:pt>
                <c:pt idx="472">
                  <c:v>3.8179263477475822</c:v>
                </c:pt>
                <c:pt idx="473">
                  <c:v>3.7860603257579397</c:v>
                </c:pt>
                <c:pt idx="474">
                  <c:v>3.7543085703200365</c:v>
                </c:pt>
                <c:pt idx="475">
                  <c:v>3.7226702810581234</c:v>
                </c:pt>
                <c:pt idx="476">
                  <c:v>3.6911446657928777</c:v>
                </c:pt>
                <c:pt idx="477">
                  <c:v>3.6597309404326901</c:v>
                </c:pt>
                <c:pt idx="478">
                  <c:v>3.6284283288666619</c:v>
                </c:pt>
                <c:pt idx="479">
                  <c:v>3.5972360628593245</c:v>
                </c:pt>
                <c:pt idx="480">
                  <c:v>3.5661533819470295</c:v>
                </c:pt>
                <c:pt idx="481">
                  <c:v>3.5351795333360054</c:v>
                </c:pt>
                <c:pt idx="482">
                  <c:v>3.5043137718020083</c:v>
                </c:pt>
                <c:pt idx="483">
                  <c:v>3.4735553595915802</c:v>
                </c:pt>
                <c:pt idx="484">
                  <c:v>3.4429035663248557</c:v>
                </c:pt>
                <c:pt idx="485">
                  <c:v>3.4123576688999115</c:v>
                </c:pt>
                <c:pt idx="486">
                  <c:v>3.3819169513985869</c:v>
                </c:pt>
                <c:pt idx="487">
                  <c:v>3.351580704993852</c:v>
                </c:pt>
                <c:pt idx="488">
                  <c:v>3.32134822785852</c:v>
                </c:pt>
                <c:pt idx="489">
                  <c:v>3.2912188250754868</c:v>
                </c:pt>
                <c:pt idx="490">
                  <c:v>3.2611918085493037</c:v>
                </c:pt>
                <c:pt idx="491">
                  <c:v>3.2312664969191363</c:v>
                </c:pt>
                <c:pt idx="492">
                  <c:v>3.2014422154730866</c:v>
                </c:pt>
                <c:pt idx="493">
                  <c:v>3.1717182960638151</c:v>
                </c:pt>
                <c:pt idx="494">
                  <c:v>3.1420940770254875</c:v>
                </c:pt>
                <c:pt idx="495">
                  <c:v>3.1125689030919839</c:v>
                </c:pt>
                <c:pt idx="496">
                  <c:v>3.0831421253163467</c:v>
                </c:pt>
                <c:pt idx="497">
                  <c:v>3.0538131009915039</c:v>
                </c:pt>
                <c:pt idx="498">
                  <c:v>3.0245811935721489</c:v>
                </c:pt>
                <c:pt idx="499">
                  <c:v>2.995445772597864</c:v>
                </c:pt>
                <c:pt idx="500">
                  <c:v>2.966406213617347</c:v>
                </c:pt>
                <c:pt idx="501">
                  <c:v>2.9374618981138516</c:v>
                </c:pt>
                <c:pt idx="502">
                  <c:v>2.9086122134317067</c:v>
                </c:pt>
                <c:pt idx="503">
                  <c:v>2.8798565527039628</c:v>
                </c:pt>
                <c:pt idx="504">
                  <c:v>2.8511943147811221</c:v>
                </c:pt>
                <c:pt idx="505">
                  <c:v>2.8226249041609304</c:v>
                </c:pt>
                <c:pt idx="506">
                  <c:v>2.7941477309192377</c:v>
                </c:pt>
                <c:pt idx="507">
                  <c:v>2.7657622106418693</c:v>
                </c:pt>
                <c:pt idx="508">
                  <c:v>2.7374677643575112</c:v>
                </c:pt>
                <c:pt idx="509">
                  <c:v>2.7092638184716216</c:v>
                </c:pt>
                <c:pt idx="510">
                  <c:v>2.6811498047012834</c:v>
                </c:pt>
                <c:pt idx="511">
                  <c:v>2.6531251600110339</c:v>
                </c:pt>
                <c:pt idx="512">
                  <c:v>2.6251893265496431</c:v>
                </c:pt>
                <c:pt idx="513">
                  <c:v>2.5973417515878241</c:v>
                </c:pt>
                <c:pt idx="514">
                  <c:v>2.569581887456847</c:v>
                </c:pt>
                <c:pt idx="515">
                  <c:v>2.5419091914880547</c:v>
                </c:pt>
                <c:pt idx="516">
                  <c:v>2.514323125953259</c:v>
                </c:pt>
                <c:pt idx="517">
                  <c:v>2.4868231580060116</c:v>
                </c:pt>
                <c:pt idx="518">
                  <c:v>2.4594087596237166</c:v>
                </c:pt>
                <c:pt idx="519">
                  <c:v>2.4320794075505971</c:v>
                </c:pt>
                <c:pt idx="520">
                  <c:v>2.4048345832414668</c:v>
                </c:pt>
                <c:pt idx="521">
                  <c:v>2.3776737728063058</c:v>
                </c:pt>
                <c:pt idx="522">
                  <c:v>2.3505964669556905</c:v>
                </c:pt>
                <c:pt idx="523">
                  <c:v>2.3236021609469173</c:v>
                </c:pt>
                <c:pt idx="524">
                  <c:v>2.2966903545309769</c:v>
                </c:pt>
                <c:pt idx="525">
                  <c:v>2.2698605519002153</c:v>
                </c:pt>
                <c:pt idx="526">
                  <c:v>2.2431122616368198</c:v>
                </c:pt>
                <c:pt idx="527">
                  <c:v>2.2164449966619606</c:v>
                </c:pt>
                <c:pt idx="528">
                  <c:v>2.1898582741856929</c:v>
                </c:pt>
                <c:pt idx="529">
                  <c:v>2.163351615657553</c:v>
                </c:pt>
                <c:pt idx="530">
                  <c:v>2.1369245467178635</c:v>
                </c:pt>
                <c:pt idx="531">
                  <c:v>2.110576597149723</c:v>
                </c:pt>
                <c:pt idx="532">
                  <c:v>2.0843073008316333</c:v>
                </c:pt>
                <c:pt idx="533">
                  <c:v>2.0581161956908516</c:v>
                </c:pt>
                <c:pt idx="534">
                  <c:v>2.0320028236573422</c:v>
                </c:pt>
                <c:pt idx="535">
                  <c:v>2.0059667306183742</c:v>
                </c:pt>
                <c:pt idx="536">
                  <c:v>1.9800074663738005</c:v>
                </c:pt>
                <c:pt idx="537">
                  <c:v>1.9541245845918789</c:v>
                </c:pt>
                <c:pt idx="538">
                  <c:v>1.9283176427657684</c:v>
                </c:pt>
                <c:pt idx="539">
                  <c:v>1.9025862021705839</c:v>
                </c:pt>
                <c:pt idx="540">
                  <c:v>1.8769298278210753</c:v>
                </c:pt>
                <c:pt idx="541">
                  <c:v>1.8513480884298603</c:v>
                </c:pt>
                <c:pt idx="542">
                  <c:v>1.8258405563662321</c:v>
                </c:pt>
                <c:pt idx="543">
                  <c:v>1.8004068076155582</c:v>
                </c:pt>
                <c:pt idx="544">
                  <c:v>1.775046421739181</c:v>
                </c:pt>
                <c:pt idx="545">
                  <c:v>1.7497589818349202</c:v>
                </c:pt>
                <c:pt idx="546">
                  <c:v>1.7245440744980658</c:v>
                </c:pt>
                <c:pt idx="547">
                  <c:v>1.6994012897829223</c:v>
                </c:pt>
                <c:pt idx="548">
                  <c:v>1.6743302211648579</c:v>
                </c:pt>
                <c:pt idx="549">
                  <c:v>1.6493304655028953</c:v>
                </c:pt>
                <c:pt idx="550">
                  <c:v>1.6244016230027514</c:v>
                </c:pt>
                <c:pt idx="551">
                  <c:v>1.5995432971804211</c:v>
                </c:pt>
                <c:pt idx="552">
                  <c:v>1.5747550948262288</c:v>
                </c:pt>
                <c:pt idx="553">
                  <c:v>1.5500366259693423</c:v>
                </c:pt>
                <c:pt idx="554">
                  <c:v>1.52538750384281</c:v>
                </c:pt>
                <c:pt idx="555">
                  <c:v>1.5008073448489898</c:v>
                </c:pt>
                <c:pt idx="556">
                  <c:v>1.4762957685254929</c:v>
                </c:pt>
                <c:pt idx="557">
                  <c:v>1.4518523975115596</c:v>
                </c:pt>
                <c:pt idx="558">
                  <c:v>1.4274768575148737</c:v>
                </c:pt>
                <c:pt idx="559">
                  <c:v>1.4031687772788146</c:v>
                </c:pt>
                <c:pt idx="560">
                  <c:v>1.3789277885501392</c:v>
                </c:pt>
                <c:pt idx="561">
                  <c:v>1.3547535260470882</c:v>
                </c:pt>
                <c:pt idx="562">
                  <c:v>1.3306456274279177</c:v>
                </c:pt>
                <c:pt idx="563">
                  <c:v>1.3066037332598146</c:v>
                </c:pt>
                <c:pt idx="564">
                  <c:v>1.2826274869882366</c:v>
                </c:pt>
                <c:pt idx="565">
                  <c:v>1.2587165349066574</c:v>
                </c:pt>
                <c:pt idx="566">
                  <c:v>1.2348705261266759</c:v>
                </c:pt>
                <c:pt idx="567">
                  <c:v>1.211089112548545</c:v>
                </c:pt>
                <c:pt idx="568">
                  <c:v>1.1873719488320305</c:v>
                </c:pt>
                <c:pt idx="569">
                  <c:v>1.1637186923676945</c:v>
                </c:pt>
                <c:pt idx="570">
                  <c:v>1.1401290032485265</c:v>
                </c:pt>
                <c:pt idx="571">
                  <c:v>1.1166025442419389</c:v>
                </c:pt>
                <c:pt idx="572">
                  <c:v>1.0931389807620941</c:v>
                </c:pt>
                <c:pt idx="573">
                  <c:v>1.069737980842647</c:v>
                </c:pt>
                <c:pt idx="574">
                  <c:v>1.0463992151097528</c:v>
                </c:pt>
                <c:pt idx="575">
                  <c:v>1.0231223567554832</c:v>
                </c:pt>
                <c:pt idx="576">
                  <c:v>0.99990708151154006</c:v>
                </c:pt>
                <c:pt idx="577">
                  <c:v>0.97675306762332503</c:v>
                </c:pt>
                <c:pt idx="578">
                  <c:v>0.95365999582430749</c:v>
                </c:pt>
                <c:pt idx="579">
                  <c:v>0.93062754931074121</c:v>
                </c:pt>
                <c:pt idx="580">
                  <c:v>0.9076554137166819</c:v>
                </c:pt>
                <c:pt idx="581">
                  <c:v>0.88474327708931577</c:v>
                </c:pt>
                <c:pt idx="582">
                  <c:v>0.86189082986461218</c:v>
                </c:pt>
                <c:pt idx="583">
                  <c:v>0.83909776484325316</c:v>
                </c:pt>
                <c:pt idx="584">
                  <c:v>0.81636377716688735</c:v>
                </c:pt>
                <c:pt idx="585">
                  <c:v>0.79368856429465784</c:v>
                </c:pt>
                <c:pt idx="586">
                  <c:v>0.77107182598003621</c:v>
                </c:pt>
                <c:pt idx="587">
                  <c:v>0.74851326424792142</c:v>
                </c:pt>
                <c:pt idx="588">
                  <c:v>0.72601258337205421</c:v>
                </c:pt>
                <c:pt idx="589">
                  <c:v>0.70356948985265</c:v>
                </c:pt>
                <c:pt idx="590">
                  <c:v>0.68118369239438237</c:v>
                </c:pt>
                <c:pt idx="591">
                  <c:v>0.65885490188457485</c:v>
                </c:pt>
                <c:pt idx="592">
                  <c:v>0.6365828313716797</c:v>
                </c:pt>
                <c:pt idx="593">
                  <c:v>0.61436719604401646</c:v>
                </c:pt>
                <c:pt idx="594">
                  <c:v>0.59220771320876842</c:v>
                </c:pt>
                <c:pt idx="595">
                  <c:v>0.57010410227124708</c:v>
                </c:pt>
                <c:pt idx="596">
                  <c:v>0.54805608471438683</c:v>
                </c:pt>
                <c:pt idx="597">
                  <c:v>0.52606338407847708</c:v>
                </c:pt>
                <c:pt idx="598">
                  <c:v>0.50412572594117977</c:v>
                </c:pt>
                <c:pt idx="599">
                  <c:v>0.48224283789774525</c:v>
                </c:pt>
                <c:pt idx="600">
                  <c:v>0.46041444954147992</c:v>
                </c:pt>
                <c:pt idx="601">
                  <c:v>0.4386402924444785</c:v>
                </c:pt>
                <c:pt idx="602">
                  <c:v>0.41692010013849701</c:v>
                </c:pt>
                <c:pt idx="603">
                  <c:v>0.3952536080961695</c:v>
                </c:pt>
                <c:pt idx="604">
                  <c:v>0.37364055371236693</c:v>
                </c:pt>
                <c:pt idx="605">
                  <c:v>0.35208067628577694</c:v>
                </c:pt>
                <c:pt idx="606">
                  <c:v>-0.66336902842679302</c:v>
                </c:pt>
                <c:pt idx="607">
                  <c:v>-1.5731084353624583</c:v>
                </c:pt>
                <c:pt idx="608">
                  <c:v>-2.396989610228502</c:v>
                </c:pt>
                <c:pt idx="609">
                  <c:v>-3.1497722260923018</c:v>
                </c:pt>
                <c:pt idx="610">
                  <c:v>-3.8427226950098707</c:v>
                </c:pt>
                <c:pt idx="611">
                  <c:v>-4.4846330473810383</c:v>
                </c:pt>
                <c:pt idx="612">
                  <c:v>-5.0824944675454118</c:v>
                </c:pt>
                <c:pt idx="613">
                  <c:v>-5.6419567243343245</c:v>
                </c:pt>
                <c:pt idx="614">
                  <c:v>-6.1676501333928506</c:v>
                </c:pt>
                <c:pt idx="615">
                  <c:v>-6.663416542475086</c:v>
                </c:pt>
                <c:pt idx="616">
                  <c:v>-7.1324784940104289</c:v>
                </c:pt>
                <c:pt idx="617">
                  <c:v>-7.5775653866903259</c:v>
                </c:pt>
                <c:pt idx="618">
                  <c:v>-7.749450425150842</c:v>
                </c:pt>
                <c:pt idx="619">
                  <c:v>-7.9180033458245642</c:v>
                </c:pt>
                <c:pt idx="620">
                  <c:v>-8.0833510333647922</c:v>
                </c:pt>
                <c:pt idx="621">
                  <c:v>-8.245613263760422</c:v>
                </c:pt>
                <c:pt idx="622">
                  <c:v>-8.4049032256088374</c:v>
                </c:pt>
                <c:pt idx="623">
                  <c:v>-8.5613279944687246</c:v>
                </c:pt>
                <c:pt idx="624">
                  <c:v>-8.7149889652710719</c:v>
                </c:pt>
                <c:pt idx="625">
                  <c:v>-8.8659822471611793</c:v>
                </c:pt>
                <c:pt idx="626">
                  <c:v>-9.0143990246216195</c:v>
                </c:pt>
                <c:pt idx="627">
                  <c:v>-9.1603258882736291</c:v>
                </c:pt>
                <c:pt idx="628">
                  <c:v>-9.3038451383615097</c:v>
                </c:pt>
                <c:pt idx="629">
                  <c:v>-9.4450350635830542</c:v>
                </c:pt>
                <c:pt idx="630">
                  <c:v>-9.5839701976308884</c:v>
                </c:pt>
                <c:pt idx="631">
                  <c:v>-9.7207215555491118</c:v>
                </c:pt>
                <c:pt idx="632">
                  <c:v>-9.8553568517815755</c:v>
                </c:pt>
                <c:pt idx="633">
                  <c:v>-9.9879407015875152</c:v>
                </c:pt>
                <c:pt idx="634">
                  <c:v>-10.11853480732421</c:v>
                </c:pt>
                <c:pt idx="635">
                  <c:v>-10.247198130940792</c:v>
                </c:pt>
                <c:pt idx="636">
                  <c:v>-10.373987053890211</c:v>
                </c:pt>
                <c:pt idx="637">
                  <c:v>-10.498955525544659</c:v>
                </c:pt>
                <c:pt idx="638">
                  <c:v>-10.622155201092379</c:v>
                </c:pt>
                <c:pt idx="639">
                  <c:v>-10.743635569797764</c:v>
                </c:pt>
                <c:pt idx="640">
                  <c:v>-10.863444074421844</c:v>
                </c:pt>
                <c:pt idx="641">
                  <c:v>-10.981626222524298</c:v>
                </c:pt>
                <c:pt idx="642">
                  <c:v>-11.098225690300271</c:v>
                </c:pt>
                <c:pt idx="643">
                  <c:v>-11.213284419545047</c:v>
                </c:pt>
                <c:pt idx="644">
                  <c:v>-11.326842708285074</c:v>
                </c:pt>
                <c:pt idx="645">
                  <c:v>-11.438939295565515</c:v>
                </c:pt>
                <c:pt idx="646">
                  <c:v>-11.549611440840557</c:v>
                </c:pt>
                <c:pt idx="647">
                  <c:v>-11.658894998373679</c:v>
                </c:pt>
                <c:pt idx="648">
                  <c:v>-11.766824487019502</c:v>
                </c:pt>
                <c:pt idx="649">
                  <c:v>-11.873433155727113</c:v>
                </c:pt>
                <c:pt idx="650">
                  <c:v>-11.978753045075711</c:v>
                </c:pt>
                <c:pt idx="651">
                  <c:v>-12.082815045127685</c:v>
                </c:pt>
                <c:pt idx="652">
                  <c:v>-12.185648949860292</c:v>
                </c:pt>
                <c:pt idx="653">
                  <c:v>-12.287283508416047</c:v>
                </c:pt>
                <c:pt idx="654">
                  <c:v>-12.38774647339223</c:v>
                </c:pt>
                <c:pt idx="655">
                  <c:v>-12.487064646372561</c:v>
                </c:pt>
                <c:pt idx="656">
                  <c:v>-12.58526392088778</c:v>
                </c:pt>
                <c:pt idx="657">
                  <c:v>-12.682369322977557</c:v>
                </c:pt>
                <c:pt idx="658">
                  <c:v>-12.778405049512521</c:v>
                </c:pt>
                <c:pt idx="659">
                  <c:v>-12.87339450442331</c:v>
                </c:pt>
                <c:pt idx="660">
                  <c:v>-12.9673603329723</c:v>
                </c:pt>
                <c:pt idx="661">
                  <c:v>-13.060324454193557</c:v>
                </c:pt>
                <c:pt idx="662">
                  <c:v>-13.15230809161725</c:v>
                </c:pt>
                <c:pt idx="663">
                  <c:v>-13.243331802386241</c:v>
                </c:pt>
                <c:pt idx="664">
                  <c:v>-13.333415504864812</c:v>
                </c:pt>
                <c:pt idx="665">
                  <c:v>-13.422578504832233</c:v>
                </c:pt>
                <c:pt idx="666">
                  <c:v>-13.51083952034735</c:v>
                </c:pt>
                <c:pt idx="667">
                  <c:v>-13.598216705364305</c:v>
                </c:pt>
              </c:numCache>
            </c:numRef>
          </c:yVal>
          <c:smooth val="1"/>
          <c:extLst>
            <c:ext xmlns:c16="http://schemas.microsoft.com/office/drawing/2014/chart" uri="{C3380CC4-5D6E-409C-BE32-E72D297353CC}">
              <c16:uniqueId val="{00000000-DE38-44B7-9695-E775A3FAF9B4}"/>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DE38-44B7-9695-E775A3FAF9B4}"/>
            </c:ext>
          </c:extLst>
        </c:ser>
        <c:dLbls>
          <c:showLegendKey val="0"/>
          <c:showVal val="0"/>
          <c:showCatName val="0"/>
          <c:showSerName val="0"/>
          <c:showPercent val="0"/>
          <c:showBubbleSize val="0"/>
        </c:dLbls>
        <c:axId val="151821696"/>
        <c:axId val="15182425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-191.45381318918319</c:v>
                </c:pt>
                <c:pt idx="1">
                  <c:v>-202.0509692019412</c:v>
                </c:pt>
                <c:pt idx="2">
                  <c:v>-211.26533771318844</c:v>
                </c:pt>
                <c:pt idx="3">
                  <c:v>-218.96625252571681</c:v>
                </c:pt>
                <c:pt idx="4">
                  <c:v>-225.27891349529415</c:v>
                </c:pt>
                <c:pt idx="5">
                  <c:v>-230.42679986920336</c:v>
                </c:pt>
                <c:pt idx="6">
                  <c:v>-234.63834727498806</c:v>
                </c:pt>
                <c:pt idx="7">
                  <c:v>-238.11003971366998</c:v>
                </c:pt>
                <c:pt idx="8">
                  <c:v>-240.99904941978454</c:v>
                </c:pt>
                <c:pt idx="9">
                  <c:v>-243.42728040183667</c:v>
                </c:pt>
                <c:pt idx="10">
                  <c:v>-255.42001555104747</c:v>
                </c:pt>
                <c:pt idx="11">
                  <c:v>-259.54407542203472</c:v>
                </c:pt>
                <c:pt idx="12">
                  <c:v>-261.46338309811915</c:v>
                </c:pt>
                <c:pt idx="13">
                  <c:v>-262.47386971600258</c:v>
                </c:pt>
                <c:pt idx="14">
                  <c:v>-263.02422948273249</c:v>
                </c:pt>
                <c:pt idx="15">
                  <c:v>-263.30997890643715</c:v>
                </c:pt>
                <c:pt idx="16">
                  <c:v>-263.42975027623487</c:v>
                </c:pt>
                <c:pt idx="17">
                  <c:v>-263.43863619347718</c:v>
                </c:pt>
                <c:pt idx="18">
                  <c:v>-263.36981101615834</c:v>
                </c:pt>
                <c:pt idx="19">
                  <c:v>-260.97352208592349</c:v>
                </c:pt>
                <c:pt idx="20">
                  <c:v>-257.66114606119356</c:v>
                </c:pt>
                <c:pt idx="21">
                  <c:v>-254.14589787948114</c:v>
                </c:pt>
                <c:pt idx="22">
                  <c:v>-250.57833460167825</c:v>
                </c:pt>
                <c:pt idx="23">
                  <c:v>-247.01449787070254</c:v>
                </c:pt>
                <c:pt idx="24">
                  <c:v>-243.4828181620943</c:v>
                </c:pt>
                <c:pt idx="25">
                  <c:v>-240.00079470477715</c:v>
                </c:pt>
                <c:pt idx="26">
                  <c:v>-236.58053195142165</c:v>
                </c:pt>
                <c:pt idx="27">
                  <c:v>-233.23095221825784</c:v>
                </c:pt>
                <c:pt idx="28">
                  <c:v>-217.72890966703611</c:v>
                </c:pt>
                <c:pt idx="29">
                  <c:v>-204.48960165634199</c:v>
                </c:pt>
                <c:pt idx="30">
                  <c:v>-193.44637874504159</c:v>
                </c:pt>
                <c:pt idx="31">
                  <c:v>-184.34000829434282</c:v>
                </c:pt>
                <c:pt idx="32">
                  <c:v>-176.86311481799072</c:v>
                </c:pt>
                <c:pt idx="33">
                  <c:v>-170.72650913611011</c:v>
                </c:pt>
                <c:pt idx="34">
                  <c:v>-165.68233613812185</c:v>
                </c:pt>
                <c:pt idx="35">
                  <c:v>-161.52716888408605</c:v>
                </c:pt>
                <c:pt idx="36">
                  <c:v>-158.09734845751211</c:v>
                </c:pt>
                <c:pt idx="37">
                  <c:v>-155.26222876817536</c:v>
                </c:pt>
                <c:pt idx="38">
                  <c:v>-152.91762054148501</c:v>
                </c:pt>
                <c:pt idx="39">
                  <c:v>-150.98019539656505</c:v>
                </c:pt>
                <c:pt idx="40">
                  <c:v>-149.38297211401249</c:v>
                </c:pt>
                <c:pt idx="41">
                  <c:v>-148.07177330524169</c:v>
                </c:pt>
                <c:pt idx="42">
                  <c:v>-147.00247858907156</c:v>
                </c:pt>
                <c:pt idx="43">
                  <c:v>-146.13890493609225</c:v>
                </c:pt>
                <c:pt idx="44">
                  <c:v>-145.45117086323108</c:v>
                </c:pt>
                <c:pt idx="45">
                  <c:v>-144.91443042861869</c:v>
                </c:pt>
                <c:pt idx="46">
                  <c:v>-144.50788898595866</c:v>
                </c:pt>
                <c:pt idx="47">
                  <c:v>-144.21403375726118</c:v>
                </c:pt>
                <c:pt idx="48">
                  <c:v>-144.01802866913835</c:v>
                </c:pt>
                <c:pt idx="49">
                  <c:v>-143.90723534313992</c:v>
                </c:pt>
                <c:pt idx="50">
                  <c:v>-143.87083147817904</c:v>
                </c:pt>
                <c:pt idx="51">
                  <c:v>-143.89950485107869</c:v>
                </c:pt>
                <c:pt idx="52">
                  <c:v>-143.98520638110705</c:v>
                </c:pt>
                <c:pt idx="53">
                  <c:v>-144.12094960986934</c:v>
                </c:pt>
                <c:pt idx="54">
                  <c:v>-144.30064687943621</c:v>
                </c:pt>
                <c:pt idx="55">
                  <c:v>-144.51897470128537</c:v>
                </c:pt>
                <c:pt idx="56">
                  <c:v>-144.77126248232756</c:v>
                </c:pt>
                <c:pt idx="57">
                  <c:v>-145.053400048621</c:v>
                </c:pt>
                <c:pt idx="58">
                  <c:v>-145.36176038291694</c:v>
                </c:pt>
                <c:pt idx="59">
                  <c:v>-145.69313474311247</c:v>
                </c:pt>
                <c:pt idx="60">
                  <c:v>-146.04467790992103</c:v>
                </c:pt>
                <c:pt idx="61">
                  <c:v>-146.41386176442683</c:v>
                </c:pt>
                <c:pt idx="62">
                  <c:v>-146.79843575014164</c:v>
                </c:pt>
                <c:pt idx="63">
                  <c:v>-147.1963930526</c:v>
                </c:pt>
                <c:pt idx="64">
                  <c:v>-147.60594154966145</c:v>
                </c:pt>
                <c:pt idx="65">
                  <c:v>-148.02547876060837</c:v>
                </c:pt>
                <c:pt idx="66">
                  <c:v>-148.45357016180202</c:v>
                </c:pt>
                <c:pt idx="67">
                  <c:v>-148.88893034871322</c:v>
                </c:pt>
                <c:pt idx="68">
                  <c:v>-149.33040661445577</c:v>
                </c:pt>
                <c:pt idx="69">
                  <c:v>-149.77696458806327</c:v>
                </c:pt>
                <c:pt idx="70">
                  <c:v>-150.22767563519074</c:v>
                </c:pt>
                <c:pt idx="71">
                  <c:v>-150.68170577245874</c:v>
                </c:pt>
                <c:pt idx="72">
                  <c:v>-151.13830588644512</c:v>
                </c:pt>
                <c:pt idx="73">
                  <c:v>-151.5968030810788</c:v>
                </c:pt>
                <c:pt idx="74">
                  <c:v>-152.05659300425168</c:v>
                </c:pt>
                <c:pt idx="75">
                  <c:v>-152.51713302690663</c:v>
                </c:pt>
                <c:pt idx="76">
                  <c:v>-152.97793616654644</c:v>
                </c:pt>
                <c:pt idx="77">
                  <c:v>-153.43856566271722</c:v>
                </c:pt>
                <c:pt idx="78">
                  <c:v>-153.89863012511017</c:v>
                </c:pt>
                <c:pt idx="79">
                  <c:v>-154.35777918593828</c:v>
                </c:pt>
                <c:pt idx="80">
                  <c:v>-154.815699597541</c:v>
                </c:pt>
                <c:pt idx="81">
                  <c:v>-155.27211172404685</c:v>
                </c:pt>
                <c:pt idx="82">
                  <c:v>-155.72676638261484</c:v>
                </c:pt>
                <c:pt idx="83">
                  <c:v>-156.17944199548219</c:v>
                </c:pt>
                <c:pt idx="84">
                  <c:v>-156.62994201892545</c:v>
                </c:pt>
                <c:pt idx="85">
                  <c:v>-157.07809261942711</c:v>
                </c:pt>
                <c:pt idx="86">
                  <c:v>-157.5237405709419</c:v>
                </c:pt>
                <c:pt idx="87">
                  <c:v>-157.96675135026493</c:v>
                </c:pt>
                <c:pt idx="88">
                  <c:v>-158.40700741019253</c:v>
                </c:pt>
                <c:pt idx="89">
                  <c:v>-158.84440661250144</c:v>
                </c:pt>
                <c:pt idx="90">
                  <c:v>-159.27886080480252</c:v>
                </c:pt>
                <c:pt idx="91">
                  <c:v>-159.7102945270974</c:v>
                </c:pt>
                <c:pt idx="92">
                  <c:v>-160.13864383541559</c:v>
                </c:pt>
                <c:pt idx="93">
                  <c:v>-160.56385523127008</c:v>
                </c:pt>
                <c:pt idx="94">
                  <c:v>-160.98588468686228</c:v>
                </c:pt>
                <c:pt idx="95">
                  <c:v>-161.40469675702113</c:v>
                </c:pt>
                <c:pt idx="96">
                  <c:v>-161.82026376978945</c:v>
                </c:pt>
                <c:pt idx="97">
                  <c:v>-162.23256508839305</c:v>
                </c:pt>
                <c:pt idx="98">
                  <c:v>-162.64158643805774</c:v>
                </c:pt>
                <c:pt idx="99">
                  <c:v>-163.04731929178678</c:v>
                </c:pt>
                <c:pt idx="100">
                  <c:v>-163.44976030978717</c:v>
                </c:pt>
                <c:pt idx="101">
                  <c:v>-163.84891082774931</c:v>
                </c:pt>
                <c:pt idx="102">
                  <c:v>-164.24477638964154</c:v>
                </c:pt>
                <c:pt idx="103">
                  <c:v>-164.63736632109399</c:v>
                </c:pt>
                <c:pt idx="104">
                  <c:v>-165.02669333981316</c:v>
                </c:pt>
                <c:pt idx="105">
                  <c:v>-165.41277319980011</c:v>
                </c:pt>
                <c:pt idx="106">
                  <c:v>-165.7956243664419</c:v>
                </c:pt>
                <c:pt idx="107">
                  <c:v>-166.17526771981335</c:v>
                </c:pt>
                <c:pt idx="108">
                  <c:v>-166.55172628376724</c:v>
                </c:pt>
                <c:pt idx="109">
                  <c:v>-166.92502497860852</c:v>
                </c:pt>
                <c:pt idx="110">
                  <c:v>-167.29519039534503</c:v>
                </c:pt>
                <c:pt idx="111">
                  <c:v>-167.66225058968377</c:v>
                </c:pt>
                <c:pt idx="112">
                  <c:v>-168.02623489410416</c:v>
                </c:pt>
                <c:pt idx="113">
                  <c:v>-168.38717374648388</c:v>
                </c:pt>
                <c:pt idx="114">
                  <c:v>-168.74509853388659</c:v>
                </c:pt>
                <c:pt idx="115">
                  <c:v>-169.1000414502397</c:v>
                </c:pt>
                <c:pt idx="116">
                  <c:v>-169.4520353667402</c:v>
                </c:pt>
                <c:pt idx="117">
                  <c:v>-169.80111371392528</c:v>
                </c:pt>
                <c:pt idx="118">
                  <c:v>-170.14731037443528</c:v>
                </c:pt>
                <c:pt idx="119">
                  <c:v>-170.49065958557799</c:v>
                </c:pt>
                <c:pt idx="120">
                  <c:v>-170.83119585087911</c:v>
                </c:pt>
                <c:pt idx="121">
                  <c:v>-171.16895385987121</c:v>
                </c:pt>
                <c:pt idx="122">
                  <c:v>-171.50396841543673</c:v>
                </c:pt>
                <c:pt idx="123">
                  <c:v>-171.8362743680766</c:v>
                </c:pt>
                <c:pt idx="124">
                  <c:v>-172.16590655652894</c:v>
                </c:pt>
                <c:pt idx="125">
                  <c:v>-172.49289975420928</c:v>
                </c:pt>
                <c:pt idx="126">
                  <c:v>-172.81728862098745</c:v>
                </c:pt>
                <c:pt idx="127">
                  <c:v>-173.13910765985634</c:v>
                </c:pt>
                <c:pt idx="128">
                  <c:v>-173.45839117808325</c:v>
                </c:pt>
                <c:pt idx="129">
                  <c:v>-173.77517325246967</c:v>
                </c:pt>
                <c:pt idx="130">
                  <c:v>-174.08948769837357</c:v>
                </c:pt>
                <c:pt idx="131">
                  <c:v>-174.40136804217855</c:v>
                </c:pt>
                <c:pt idx="132">
                  <c:v>-174.71084749691832</c:v>
                </c:pt>
                <c:pt idx="133">
                  <c:v>-175.01795894078944</c:v>
                </c:pt>
                <c:pt idx="134">
                  <c:v>-175.32273489830629</c:v>
                </c:pt>
                <c:pt idx="135">
                  <c:v>-175.6252075238728</c:v>
                </c:pt>
                <c:pt idx="136">
                  <c:v>-175.92540858756274</c:v>
                </c:pt>
                <c:pt idx="137">
                  <c:v>-176.22336946291816</c:v>
                </c:pt>
                <c:pt idx="138">
                  <c:v>-176.51912111659001</c:v>
                </c:pt>
                <c:pt idx="139">
                  <c:v>-176.81269409965995</c:v>
                </c:pt>
                <c:pt idx="140">
                  <c:v>-177.10411854049468</c:v>
                </c:pt>
                <c:pt idx="141">
                  <c:v>-177.39342413899627</c:v>
                </c:pt>
                <c:pt idx="142">
                  <c:v>-177.68064016212338</c:v>
                </c:pt>
                <c:pt idx="143">
                  <c:v>-177.96579544056769</c:v>
                </c:pt>
                <c:pt idx="144">
                  <c:v>-178.24891836647947</c:v>
                </c:pt>
                <c:pt idx="145">
                  <c:v>-178.53003689214509</c:v>
                </c:pt>
                <c:pt idx="146">
                  <c:v>-178.80917852952658</c:v>
                </c:pt>
                <c:pt idx="147">
                  <c:v>-179.08637035058089</c:v>
                </c:pt>
                <c:pt idx="148">
                  <c:v>-179.36163898828335</c:v>
                </c:pt>
                <c:pt idx="149">
                  <c:v>-179.63501063828537</c:v>
                </c:pt>
                <c:pt idx="150">
                  <c:v>-179.90651106114305</c:v>
                </c:pt>
                <c:pt idx="151">
                  <c:v>-180.17616558505759</c:v>
                </c:pt>
                <c:pt idx="152">
                  <c:v>-180.44399910907364</c:v>
                </c:pt>
                <c:pt idx="153">
                  <c:v>-180.71003610668646</c:v>
                </c:pt>
                <c:pt idx="154">
                  <c:v>-180.97430062981221</c:v>
                </c:pt>
                <c:pt idx="155">
                  <c:v>-181.23681631307997</c:v>
                </c:pt>
                <c:pt idx="156">
                  <c:v>-181.49760637840694</c:v>
                </c:pt>
                <c:pt idx="157">
                  <c:v>-181.75669363982252</c:v>
                </c:pt>
                <c:pt idx="158">
                  <c:v>-182.01410050850856</c:v>
                </c:pt>
                <c:pt idx="159">
                  <c:v>-182.26984899802702</c:v>
                </c:pt>
                <c:pt idx="160">
                  <c:v>-182.52396072970748</c:v>
                </c:pt>
                <c:pt idx="161">
                  <c:v>-182.77645693817121</c:v>
                </c:pt>
                <c:pt idx="162">
                  <c:v>-183.02735847696781</c:v>
                </c:pt>
                <c:pt idx="163">
                  <c:v>-183.27668582430542</c:v>
                </c:pt>
                <c:pt idx="164">
                  <c:v>-183.52445908885488</c:v>
                </c:pt>
                <c:pt idx="165">
                  <c:v>-183.77069801561134</c:v>
                </c:pt>
                <c:pt idx="166">
                  <c:v>-184.01542199179747</c:v>
                </c:pt>
                <c:pt idx="167">
                  <c:v>-184.25865005279488</c:v>
                </c:pt>
                <c:pt idx="168">
                  <c:v>-184.50040088808996</c:v>
                </c:pt>
                <c:pt idx="169">
                  <c:v>-184.74069284722361</c:v>
                </c:pt>
                <c:pt idx="170">
                  <c:v>-184.97954394573367</c:v>
                </c:pt>
                <c:pt idx="171">
                  <c:v>-185.21697187108089</c:v>
                </c:pt>
                <c:pt idx="172">
                  <c:v>-185.45299398854982</c:v>
                </c:pt>
                <c:pt idx="173">
                  <c:v>-185.68762734711711</c:v>
                </c:pt>
                <c:pt idx="174">
                  <c:v>-185.92088868527995</c:v>
                </c:pt>
                <c:pt idx="175">
                  <c:v>-186.15279443683883</c:v>
                </c:pt>
                <c:pt idx="176">
                  <c:v>-186.38336073662907</c:v>
                </c:pt>
                <c:pt idx="177">
                  <c:v>-186.61260342619607</c:v>
                </c:pt>
                <c:pt idx="178">
                  <c:v>-186.84053805941016</c:v>
                </c:pt>
                <c:pt idx="179">
                  <c:v>-187.06717990801678</c:v>
                </c:pt>
                <c:pt idx="180">
                  <c:v>-187.2925439671196</c:v>
                </c:pt>
                <c:pt idx="181">
                  <c:v>-187.51664496059232</c:v>
                </c:pt>
                <c:pt idx="182">
                  <c:v>-187.73949734641809</c:v>
                </c:pt>
                <c:pt idx="183">
                  <c:v>-187.96111532195312</c:v>
                </c:pt>
                <c:pt idx="184">
                  <c:v>-188.18151282911356</c:v>
                </c:pt>
                <c:pt idx="185">
                  <c:v>-188.40070355948376</c:v>
                </c:pt>
                <c:pt idx="186">
                  <c:v>-188.61870095934469</c:v>
                </c:pt>
                <c:pt idx="187">
                  <c:v>-188.8355182346215</c:v>
                </c:pt>
                <c:pt idx="188">
                  <c:v>-189.05116835574987</c:v>
                </c:pt>
                <c:pt idx="189">
                  <c:v>-189.2656640624599</c:v>
                </c:pt>
                <c:pt idx="190">
                  <c:v>-189.47901786847808</c:v>
                </c:pt>
                <c:pt idx="191">
                  <c:v>-189.69124206614609</c:v>
                </c:pt>
                <c:pt idx="192">
                  <c:v>-189.90234873095778</c:v>
                </c:pt>
                <c:pt idx="193">
                  <c:v>-190.11234972601292</c:v>
                </c:pt>
                <c:pt idx="194">
                  <c:v>-190.32125670638956</c:v>
                </c:pt>
                <c:pt idx="195">
                  <c:v>-190.52908112343385</c:v>
                </c:pt>
                <c:pt idx="196">
                  <c:v>-190.73583422896908</c:v>
                </c:pt>
                <c:pt idx="197">
                  <c:v>-190.94152707942388</c:v>
                </c:pt>
                <c:pt idx="198">
                  <c:v>-191.14617053988005</c:v>
                </c:pt>
                <c:pt idx="199">
                  <c:v>-191.34977528804154</c:v>
                </c:pt>
                <c:pt idx="200">
                  <c:v>-191.55235181812452</c:v>
                </c:pt>
                <c:pt idx="201">
                  <c:v>-191.75391044466991</c:v>
                </c:pt>
                <c:pt idx="202">
                  <c:v>-191.95446130627926</c:v>
                </c:pt>
                <c:pt idx="203">
                  <c:v>-192.15401436927468</c:v>
                </c:pt>
                <c:pt idx="204">
                  <c:v>-192.35257943128417</c:v>
                </c:pt>
                <c:pt idx="205">
                  <c:v>-192.55016612475305</c:v>
                </c:pt>
                <c:pt idx="206">
                  <c:v>-192.7467839203828</c:v>
                </c:pt>
                <c:pt idx="207">
                  <c:v>-192.94244213049825</c:v>
                </c:pt>
                <c:pt idx="208">
                  <c:v>-193.13714991234434</c:v>
                </c:pt>
                <c:pt idx="209">
                  <c:v>-193.33091627131358</c:v>
                </c:pt>
                <c:pt idx="210">
                  <c:v>-193.52375006410517</c:v>
                </c:pt>
                <c:pt idx="211">
                  <c:v>-193.71566000181707</c:v>
                </c:pt>
                <c:pt idx="212">
                  <c:v>-193.90665465297235</c:v>
                </c:pt>
                <c:pt idx="213">
                  <c:v>-194.09674244648045</c:v>
                </c:pt>
                <c:pt idx="214">
                  <c:v>-194.28593167453531</c:v>
                </c:pt>
                <c:pt idx="215">
                  <c:v>-194.47423049545066</c:v>
                </c:pt>
                <c:pt idx="216">
                  <c:v>-194.66164693643421</c:v>
                </c:pt>
                <c:pt idx="217">
                  <c:v>-194.84818889630191</c:v>
                </c:pt>
                <c:pt idx="218">
                  <c:v>-195.03386414813286</c:v>
                </c:pt>
                <c:pt idx="219">
                  <c:v>-195.21868034186687</c:v>
                </c:pt>
                <c:pt idx="220">
                  <c:v>-195.40264500684486</c:v>
                </c:pt>
                <c:pt idx="221">
                  <c:v>-195.5857655542942</c:v>
                </c:pt>
                <c:pt idx="222">
                  <c:v>-195.76804927975917</c:v>
                </c:pt>
                <c:pt idx="223">
                  <c:v>-195.94950336547825</c:v>
                </c:pt>
                <c:pt idx="224">
                  <c:v>-196.13013488270951</c:v>
                </c:pt>
                <c:pt idx="225">
                  <c:v>-196.30995079400404</c:v>
                </c:pt>
                <c:pt idx="226">
                  <c:v>-198.06470992452444</c:v>
                </c:pt>
                <c:pt idx="227">
                  <c:v>-199.74483976566489</c:v>
                </c:pt>
                <c:pt idx="228">
                  <c:v>-201.35581541266998</c:v>
                </c:pt>
                <c:pt idx="229">
                  <c:v>-202.90241044709319</c:v>
                </c:pt>
                <c:pt idx="230">
                  <c:v>-204.38882109355964</c:v>
                </c:pt>
                <c:pt idx="231">
                  <c:v>-205.81876564765955</c:v>
                </c:pt>
                <c:pt idx="232">
                  <c:v>-207.19556428389862</c:v>
                </c:pt>
                <c:pt idx="233">
                  <c:v>-208.5222032993974</c:v>
                </c:pt>
                <c:pt idx="234">
                  <c:v>-209.80138700000143</c:v>
                </c:pt>
                <c:pt idx="235">
                  <c:v>-211.03557976015668</c:v>
                </c:pt>
                <c:pt idx="236">
                  <c:v>-212.22704025463395</c:v>
                </c:pt>
                <c:pt idx="237">
                  <c:v>-213.37784944055363</c:v>
                </c:pt>
                <c:pt idx="238">
                  <c:v>-214.48993353835908</c:v>
                </c:pt>
                <c:pt idx="239">
                  <c:v>-215.56508300114692</c:v>
                </c:pt>
                <c:pt idx="240">
                  <c:v>-216.60496825777295</c:v>
                </c:pt>
                <c:pt idx="241">
                  <c:v>-217.61115285440113</c:v>
                </c:pt>
                <c:pt idx="242">
                  <c:v>-218.58510449225349</c:v>
                </c:pt>
                <c:pt idx="243">
                  <c:v>-219.52820435893915</c:v>
                </c:pt>
                <c:pt idx="244">
                  <c:v>-220.44175507119087</c:v>
                </c:pt>
                <c:pt idx="245">
                  <c:v>-221.32698748367915</c:v>
                </c:pt>
                <c:pt idx="246">
                  <c:v>-222.18506656833912</c:v>
                </c:pt>
                <c:pt idx="247">
                  <c:v>-223.01709652862257</c:v>
                </c:pt>
                <c:pt idx="248">
                  <c:v>-223.82412528115097</c:v>
                </c:pt>
                <c:pt idx="249">
                  <c:v>-224.60714841172455</c:v>
                </c:pt>
                <c:pt idx="250">
                  <c:v>-225.36711269221738</c:v>
                </c:pt>
                <c:pt idx="251">
                  <c:v>-226.10491922852552</c:v>
                </c:pt>
                <c:pt idx="252">
                  <c:v>-226.82142629660459</c:v>
                </c:pt>
                <c:pt idx="253">
                  <c:v>-227.51745191308817</c:v>
                </c:pt>
                <c:pt idx="254">
                  <c:v>-228.19377617849591</c:v>
                </c:pt>
                <c:pt idx="255">
                  <c:v>-228.85114342421284</c:v>
                </c:pt>
                <c:pt idx="256">
                  <c:v>-229.49026418891398</c:v>
                </c:pt>
                <c:pt idx="257">
                  <c:v>-230.11181704566411</c:v>
                </c:pt>
                <c:pt idx="258">
                  <c:v>-230.71645029732889</c:v>
                </c:pt>
                <c:pt idx="259">
                  <c:v>-231.30478355502345</c:v>
                </c:pt>
                <c:pt idx="260">
                  <c:v>-231.87740921196291</c:v>
                </c:pt>
                <c:pt idx="261">
                  <c:v>-232.43489382316025</c:v>
                </c:pt>
                <c:pt idx="262">
                  <c:v>-232.97777939985289</c:v>
                </c:pt>
                <c:pt idx="263">
                  <c:v>-233.50658462626089</c:v>
                </c:pt>
                <c:pt idx="264">
                  <c:v>-234.02180600523243</c:v>
                </c:pt>
                <c:pt idx="265">
                  <c:v>-234.5239189384701</c:v>
                </c:pt>
                <c:pt idx="266">
                  <c:v>-235.01337874632128</c:v>
                </c:pt>
                <c:pt idx="267">
                  <c:v>-235.49062163152374</c:v>
                </c:pt>
                <c:pt idx="268">
                  <c:v>-235.95606559080721</c:v>
                </c:pt>
                <c:pt idx="269">
                  <c:v>-236.41011127783824</c:v>
                </c:pt>
                <c:pt idx="270">
                  <c:v>-236.85314282064766</c:v>
                </c:pt>
                <c:pt idx="271">
                  <c:v>-237.28552859638467</c:v>
                </c:pt>
                <c:pt idx="272">
                  <c:v>-237.70762196598884</c:v>
                </c:pt>
                <c:pt idx="273">
                  <c:v>-238.11976197115334</c:v>
                </c:pt>
                <c:pt idx="274">
                  <c:v>-238.52227399576418</c:v>
                </c:pt>
                <c:pt idx="275">
                  <c:v>-238.9154703938344</c:v>
                </c:pt>
                <c:pt idx="276">
                  <c:v>-239.29965108580694</c:v>
                </c:pt>
                <c:pt idx="277">
                  <c:v>-239.67510412497003</c:v>
                </c:pt>
                <c:pt idx="278">
                  <c:v>-240.04210623561318</c:v>
                </c:pt>
                <c:pt idx="279">
                  <c:v>-240.4009233244478</c:v>
                </c:pt>
                <c:pt idx="280">
                  <c:v>-240.75181096672091</c:v>
                </c:pt>
                <c:pt idx="281">
                  <c:v>-241.09501486836544</c:v>
                </c:pt>
                <c:pt idx="282">
                  <c:v>-241.43077130544967</c:v>
                </c:pt>
                <c:pt idx="283">
                  <c:v>-241.7593075421164</c:v>
                </c:pt>
                <c:pt idx="284">
                  <c:v>-242.08084222813477</c:v>
                </c:pt>
                <c:pt idx="285">
                  <c:v>-242.39558577712378</c:v>
                </c:pt>
                <c:pt idx="286">
                  <c:v>-242.70374072644933</c:v>
                </c:pt>
                <c:pt idx="287">
                  <c:v>-243.00550207974015</c:v>
                </c:pt>
                <c:pt idx="288">
                  <c:v>-243.3010576329186</c:v>
                </c:pt>
                <c:pt idx="289">
                  <c:v>-243.59058828459143</c:v>
                </c:pt>
                <c:pt idx="290">
                  <c:v>-243.87426833160305</c:v>
                </c:pt>
                <c:pt idx="291">
                  <c:v>-244.15226575050826</c:v>
                </c:pt>
                <c:pt idx="292">
                  <c:v>-244.42474246568389</c:v>
                </c:pt>
                <c:pt idx="293">
                  <c:v>-244.69185460475791</c:v>
                </c:pt>
                <c:pt idx="294">
                  <c:v>-244.95375274200035</c:v>
                </c:pt>
                <c:pt idx="295">
                  <c:v>-245.21058213028653</c:v>
                </c:pt>
                <c:pt idx="296">
                  <c:v>-245.46248292220912</c:v>
                </c:pt>
                <c:pt idx="297">
                  <c:v>-245.70959038088722</c:v>
                </c:pt>
                <c:pt idx="298">
                  <c:v>-245.95203508099064</c:v>
                </c:pt>
                <c:pt idx="299">
                  <c:v>-246.18994310047034</c:v>
                </c:pt>
                <c:pt idx="300">
                  <c:v>-246.42343620346099</c:v>
                </c:pt>
                <c:pt idx="301">
                  <c:v>-246.65263201479593</c:v>
                </c:pt>
                <c:pt idx="302">
                  <c:v>-246.8776441865532</c:v>
                </c:pt>
                <c:pt idx="303">
                  <c:v>-247.09858255702824</c:v>
                </c:pt>
                <c:pt idx="304">
                  <c:v>-247.31555330250825</c:v>
                </c:pt>
                <c:pt idx="305">
                  <c:v>-247.52865908220446</c:v>
                </c:pt>
                <c:pt idx="306">
                  <c:v>-247.7379991766793</c:v>
                </c:pt>
                <c:pt idx="307">
                  <c:v>-247.94366962008752</c:v>
                </c:pt>
                <c:pt idx="308">
                  <c:v>-248.14576332653496</c:v>
                </c:pt>
                <c:pt idx="309">
                  <c:v>-248.34437021084105</c:v>
                </c:pt>
                <c:pt idx="310">
                  <c:v>-248.53957730397875</c:v>
                </c:pt>
                <c:pt idx="311">
                  <c:v>-248.73146886344841</c:v>
                </c:pt>
                <c:pt idx="312">
                  <c:v>-248.92012647883178</c:v>
                </c:pt>
                <c:pt idx="313">
                  <c:v>-249.10562917275729</c:v>
                </c:pt>
                <c:pt idx="314">
                  <c:v>-249.28805349749737</c:v>
                </c:pt>
                <c:pt idx="315">
                  <c:v>-249.46747362740643</c:v>
                </c:pt>
                <c:pt idx="316">
                  <c:v>-249.64396144739766</c:v>
                </c:pt>
                <c:pt idx="317">
                  <c:v>-249.81758663764674</c:v>
                </c:pt>
                <c:pt idx="318">
                  <c:v>-249.98841675470061</c:v>
                </c:pt>
                <c:pt idx="319">
                  <c:v>-250.15651730916107</c:v>
                </c:pt>
                <c:pt idx="320">
                  <c:v>-250.32195184010328</c:v>
                </c:pt>
                <c:pt idx="321">
                  <c:v>-250.4847819863823</c:v>
                </c:pt>
                <c:pt idx="322">
                  <c:v>-250.6450675549722</c:v>
                </c:pt>
                <c:pt idx="323">
                  <c:v>-250.80286658647529</c:v>
                </c:pt>
                <c:pt idx="324">
                  <c:v>-250.9582354179322</c:v>
                </c:pt>
                <c:pt idx="325">
                  <c:v>-251.11122874305698</c:v>
                </c:pt>
                <c:pt idx="326">
                  <c:v>-251.26189967001477</c:v>
                </c:pt>
                <c:pt idx="327">
                  <c:v>-251.41029977685463</c:v>
                </c:pt>
                <c:pt idx="328">
                  <c:v>-251.55647916470309</c:v>
                </c:pt>
                <c:pt idx="329">
                  <c:v>-251.700486508821</c:v>
                </c:pt>
                <c:pt idx="330">
                  <c:v>-251.84236910761811</c:v>
                </c:pt>
                <c:pt idx="331">
                  <c:v>-251.98217292971867</c:v>
                </c:pt>
                <c:pt idx="332">
                  <c:v>-252.1199426591636</c:v>
                </c:pt>
                <c:pt idx="333">
                  <c:v>-252.25572173883285</c:v>
                </c:pt>
                <c:pt idx="334">
                  <c:v>-252.38955241216627</c:v>
                </c:pt>
                <c:pt idx="335">
                  <c:v>-252.5214757632582</c:v>
                </c:pt>
                <c:pt idx="336">
                  <c:v>-252.65153175539672</c:v>
                </c:pt>
                <c:pt idx="337">
                  <c:v>-252.77975926811573</c:v>
                </c:pt>
                <c:pt idx="338">
                  <c:v>-252.90619613282445</c:v>
                </c:pt>
                <c:pt idx="339">
                  <c:v>-253.03087916707548</c:v>
                </c:pt>
                <c:pt idx="340">
                  <c:v>-253.15384420753088</c:v>
                </c:pt>
                <c:pt idx="341">
                  <c:v>-253.27512614168103</c:v>
                </c:pt>
                <c:pt idx="342">
                  <c:v>-253.3947589383701</c:v>
                </c:pt>
                <c:pt idx="343">
                  <c:v>-253.51277567717921</c:v>
                </c:pt>
                <c:pt idx="344">
                  <c:v>-253.62920857671435</c:v>
                </c:pt>
                <c:pt idx="345">
                  <c:v>-253.74408902184655</c:v>
                </c:pt>
                <c:pt idx="346">
                  <c:v>-253.85744758994704</c:v>
                </c:pt>
                <c:pt idx="347">
                  <c:v>-253.96931407616034</c:v>
                </c:pt>
                <c:pt idx="348">
                  <c:v>-254.0797175177542</c:v>
                </c:pt>
                <c:pt idx="349">
                  <c:v>-254.18868621758551</c:v>
                </c:pt>
                <c:pt idx="350">
                  <c:v>-254.29624776671778</c:v>
                </c:pt>
                <c:pt idx="351">
                  <c:v>-254.40242906622532</c:v>
                </c:pt>
                <c:pt idx="352">
                  <c:v>-254.50725634821734</c:v>
                </c:pt>
                <c:pt idx="353">
                  <c:v>-254.6107551961133</c:v>
                </c:pt>
                <c:pt idx="354">
                  <c:v>-254.71295056420004</c:v>
                </c:pt>
                <c:pt idx="355">
                  <c:v>-254.81386679649938</c:v>
                </c:pt>
                <c:pt idx="356">
                  <c:v>-254.91352764497395</c:v>
                </c:pt>
                <c:pt idx="357">
                  <c:v>-255.01195628709749</c:v>
                </c:pt>
                <c:pt idx="358">
                  <c:v>-255.10917534281475</c:v>
                </c:pt>
                <c:pt idx="359">
                  <c:v>-255.20520689091546</c:v>
                </c:pt>
                <c:pt idx="360">
                  <c:v>-255.30007248484486</c:v>
                </c:pt>
                <c:pt idx="361">
                  <c:v>-255.3937931679732</c:v>
                </c:pt>
                <c:pt idx="362">
                  <c:v>-255.4863894883452</c:v>
                </c:pt>
                <c:pt idx="363">
                  <c:v>-255.57788151292957</c:v>
                </c:pt>
                <c:pt idx="364">
                  <c:v>-255.66828884138789</c:v>
                </c:pt>
                <c:pt idx="365">
                  <c:v>-255.75763061938136</c:v>
                </c:pt>
                <c:pt idx="366">
                  <c:v>-255.84592555143297</c:v>
                </c:pt>
                <c:pt idx="367">
                  <c:v>-255.93319191336224</c:v>
                </c:pt>
                <c:pt idx="368">
                  <c:v>-256.01944756430839</c:v>
                </c:pt>
                <c:pt idx="369">
                  <c:v>-256.10470995835789</c:v>
                </c:pt>
                <c:pt idx="370">
                  <c:v>-256.18899615579073</c:v>
                </c:pt>
                <c:pt idx="371">
                  <c:v>-256.27232283396006</c:v>
                </c:pt>
                <c:pt idx="372">
                  <c:v>-256.35470629781889</c:v>
                </c:pt>
                <c:pt idx="373">
                  <c:v>-256.43616249010637</c:v>
                </c:pt>
                <c:pt idx="374">
                  <c:v>-256.5167070012069</c:v>
                </c:pt>
                <c:pt idx="375">
                  <c:v>-256.59635507869348</c:v>
                </c:pt>
                <c:pt idx="376">
                  <c:v>-256.67512163656761</c:v>
                </c:pt>
                <c:pt idx="377">
                  <c:v>-256.7530212642057</c:v>
                </c:pt>
                <c:pt idx="378">
                  <c:v>-256.83006823502342</c:v>
                </c:pt>
                <c:pt idx="379">
                  <c:v>-256.90627651486824</c:v>
                </c:pt>
                <c:pt idx="380">
                  <c:v>-256.98165977014912</c:v>
                </c:pt>
                <c:pt idx="381">
                  <c:v>-257.05623137571371</c:v>
                </c:pt>
                <c:pt idx="382">
                  <c:v>-257.13000442248142</c:v>
                </c:pt>
                <c:pt idx="383">
                  <c:v>-257.2029917248409</c:v>
                </c:pt>
                <c:pt idx="384">
                  <c:v>-257.27520582782103</c:v>
                </c:pt>
                <c:pt idx="385">
                  <c:v>-257.34665901404247</c:v>
                </c:pt>
                <c:pt idx="386">
                  <c:v>-257.41736331045797</c:v>
                </c:pt>
                <c:pt idx="387">
                  <c:v>-257.48733049488857</c:v>
                </c:pt>
                <c:pt idx="388">
                  <c:v>-257.55657210236308</c:v>
                </c:pt>
                <c:pt idx="389">
                  <c:v>-257.62509943126713</c:v>
                </c:pt>
                <c:pt idx="390">
                  <c:v>-257.69292354930866</c:v>
                </c:pt>
                <c:pt idx="391">
                  <c:v>-257.76005529930626</c:v>
                </c:pt>
                <c:pt idx="392">
                  <c:v>-257.82650530480583</c:v>
                </c:pt>
                <c:pt idx="393">
                  <c:v>-257.89228397553234</c:v>
                </c:pt>
                <c:pt idx="394">
                  <c:v>-257.95740151268092</c:v>
                </c:pt>
                <c:pt idx="395">
                  <c:v>-258.0218679140541</c:v>
                </c:pt>
                <c:pt idx="396">
                  <c:v>-258.0856929790495</c:v>
                </c:pt>
                <c:pt idx="397">
                  <c:v>-258.14888631350283</c:v>
                </c:pt>
                <c:pt idx="398">
                  <c:v>-258.21145733439181</c:v>
                </c:pt>
                <c:pt idx="399">
                  <c:v>-258.27341527440478</c:v>
                </c:pt>
                <c:pt idx="400">
                  <c:v>-258.33476918637899</c:v>
                </c:pt>
                <c:pt idx="401">
                  <c:v>-258.39552794761249</c:v>
                </c:pt>
                <c:pt idx="402">
                  <c:v>-258.45570026405397</c:v>
                </c:pt>
                <c:pt idx="403">
                  <c:v>-258.51529467437467</c:v>
                </c:pt>
                <c:pt idx="404">
                  <c:v>-258.57431955392542</c:v>
                </c:pt>
                <c:pt idx="405">
                  <c:v>-258.6327831185838</c:v>
                </c:pt>
                <c:pt idx="406">
                  <c:v>-258.69069342849332</c:v>
                </c:pt>
                <c:pt idx="407">
                  <c:v>-258.74805839169994</c:v>
                </c:pt>
                <c:pt idx="408">
                  <c:v>-258.80488576768732</c:v>
                </c:pt>
                <c:pt idx="409">
                  <c:v>-258.86118317081559</c:v>
                </c:pt>
                <c:pt idx="410">
                  <c:v>-258.91695807366546</c:v>
                </c:pt>
                <c:pt idx="411">
                  <c:v>-258.97221781029157</c:v>
                </c:pt>
                <c:pt idx="412">
                  <c:v>-259.02696957938736</c:v>
                </c:pt>
                <c:pt idx="413">
                  <c:v>-259.08122044736467</c:v>
                </c:pt>
                <c:pt idx="414">
                  <c:v>-259.13497735134985</c:v>
                </c:pt>
                <c:pt idx="415">
                  <c:v>-259.18824710210038</c:v>
                </c:pt>
                <c:pt idx="416">
                  <c:v>-259.24103638684284</c:v>
                </c:pt>
                <c:pt idx="417">
                  <c:v>-259.29335177203626</c:v>
                </c:pt>
                <c:pt idx="418">
                  <c:v>-259.34519970606135</c:v>
                </c:pt>
                <c:pt idx="419">
                  <c:v>-259.39658652183994</c:v>
                </c:pt>
                <c:pt idx="420">
                  <c:v>-259.44751843938457</c:v>
                </c:pt>
                <c:pt idx="421">
                  <c:v>-259.49800156828218</c:v>
                </c:pt>
                <c:pt idx="422">
                  <c:v>-259.54804191011277</c:v>
                </c:pt>
                <c:pt idx="423">
                  <c:v>-259.59764536080525</c:v>
                </c:pt>
                <c:pt idx="424">
                  <c:v>-259.64681771293289</c:v>
                </c:pt>
                <c:pt idx="425">
                  <c:v>-259.69556465794898</c:v>
                </c:pt>
                <c:pt idx="426">
                  <c:v>-259.74389178836589</c:v>
                </c:pt>
                <c:pt idx="427">
                  <c:v>-259.79180459987793</c:v>
                </c:pt>
                <c:pt idx="428">
                  <c:v>-259.83930849343096</c:v>
                </c:pt>
                <c:pt idx="429">
                  <c:v>-259.88640877723856</c:v>
                </c:pt>
                <c:pt idx="430">
                  <c:v>-259.93311066874833</c:v>
                </c:pt>
                <c:pt idx="431">
                  <c:v>-259.97941929655843</c:v>
                </c:pt>
                <c:pt idx="432">
                  <c:v>-260.02533970228563</c:v>
                </c:pt>
                <c:pt idx="433">
                  <c:v>-260.07087684238786</c:v>
                </c:pt>
                <c:pt idx="434">
                  <c:v>-260.1160355899404</c:v>
                </c:pt>
                <c:pt idx="435">
                  <c:v>-260.16082073636903</c:v>
                </c:pt>
                <c:pt idx="436">
                  <c:v>-260.20523699313986</c:v>
                </c:pt>
                <c:pt idx="437">
                  <c:v>-260.24928899340796</c:v>
                </c:pt>
                <c:pt idx="438">
                  <c:v>-260.29298129362559</c:v>
                </c:pt>
                <c:pt idx="439">
                  <c:v>-260.33631837511149</c:v>
                </c:pt>
                <c:pt idx="440">
                  <c:v>-260.37930464558156</c:v>
                </c:pt>
                <c:pt idx="441">
                  <c:v>-260.42194444064324</c:v>
                </c:pt>
                <c:pt idx="442">
                  <c:v>-260.46424202525327</c:v>
                </c:pt>
                <c:pt idx="443">
                  <c:v>-260.50620159514091</c:v>
                </c:pt>
                <c:pt idx="444">
                  <c:v>-260.54782727819685</c:v>
                </c:pt>
                <c:pt idx="445">
                  <c:v>-260.58912313582942</c:v>
                </c:pt>
                <c:pt idx="446">
                  <c:v>-260.63009316428816</c:v>
                </c:pt>
                <c:pt idx="447">
                  <c:v>-260.67074129595647</c:v>
                </c:pt>
                <c:pt idx="448">
                  <c:v>-260.71107140061366</c:v>
                </c:pt>
                <c:pt idx="449">
                  <c:v>-260.75108728666748</c:v>
                </c:pt>
                <c:pt idx="450">
                  <c:v>-260.79079270235786</c:v>
                </c:pt>
                <c:pt idx="451">
                  <c:v>-260.8301913369325</c:v>
                </c:pt>
                <c:pt idx="452">
                  <c:v>-260.8692868217953</c:v>
                </c:pt>
                <c:pt idx="453">
                  <c:v>-260.90808273162804</c:v>
                </c:pt>
                <c:pt idx="454">
                  <c:v>-260.94658258548685</c:v>
                </c:pt>
                <c:pt idx="455">
                  <c:v>-260.98478984787243</c:v>
                </c:pt>
                <c:pt idx="456">
                  <c:v>-261.02270792977708</c:v>
                </c:pt>
                <c:pt idx="457">
                  <c:v>-261.06034018970672</c:v>
                </c:pt>
                <c:pt idx="458">
                  <c:v>-261.09768993468055</c:v>
                </c:pt>
                <c:pt idx="459">
                  <c:v>-261.13476042120772</c:v>
                </c:pt>
                <c:pt idx="460">
                  <c:v>-261.17155485624198</c:v>
                </c:pt>
                <c:pt idx="461">
                  <c:v>-261.20807639811505</c:v>
                </c:pt>
                <c:pt idx="462">
                  <c:v>-261.24432815744899</c:v>
                </c:pt>
                <c:pt idx="463">
                  <c:v>-261.28031319804813</c:v>
                </c:pt>
                <c:pt idx="464">
                  <c:v>-261.31603453777166</c:v>
                </c:pt>
                <c:pt idx="465">
                  <c:v>-261.35149514938632</c:v>
                </c:pt>
                <c:pt idx="466">
                  <c:v>-261.3866979614005</c:v>
                </c:pt>
                <c:pt idx="467">
                  <c:v>-261.42164585888003</c:v>
                </c:pt>
                <c:pt idx="468">
                  <c:v>-261.45634168424624</c:v>
                </c:pt>
                <c:pt idx="469">
                  <c:v>-261.49078823805638</c:v>
                </c:pt>
                <c:pt idx="470">
                  <c:v>-261.524988279767</c:v>
                </c:pt>
                <c:pt idx="471">
                  <c:v>-261.55894452848111</c:v>
                </c:pt>
                <c:pt idx="472">
                  <c:v>-261.59265966367894</c:v>
                </c:pt>
                <c:pt idx="473">
                  <c:v>-261.62613632593292</c:v>
                </c:pt>
                <c:pt idx="474">
                  <c:v>-261.65937711760756</c:v>
                </c:pt>
                <c:pt idx="475">
                  <c:v>-261.69238460354416</c:v>
                </c:pt>
                <c:pt idx="476">
                  <c:v>-261.72516131173103</c:v>
                </c:pt>
                <c:pt idx="477">
                  <c:v>-261.75770973395947</c:v>
                </c:pt>
                <c:pt idx="478">
                  <c:v>-261.79003232646579</c:v>
                </c:pt>
                <c:pt idx="479">
                  <c:v>-261.82213151055993</c:v>
                </c:pt>
                <c:pt idx="480">
                  <c:v>-261.85400967324057</c:v>
                </c:pt>
                <c:pt idx="481">
                  <c:v>-261.88566916779774</c:v>
                </c:pt>
                <c:pt idx="482">
                  <c:v>-261.91711231440263</c:v>
                </c:pt>
                <c:pt idx="483">
                  <c:v>-261.94834140068514</c:v>
                </c:pt>
                <c:pt idx="484">
                  <c:v>-261.97935868229939</c:v>
                </c:pt>
                <c:pt idx="485">
                  <c:v>-262.01016638347772</c:v>
                </c:pt>
                <c:pt idx="486">
                  <c:v>-262.04076669757308</c:v>
                </c:pt>
                <c:pt idx="487">
                  <c:v>-262.07116178759037</c:v>
                </c:pt>
                <c:pt idx="488">
                  <c:v>-262.10135378670702</c:v>
                </c:pt>
                <c:pt idx="489">
                  <c:v>-262.13134479878261</c:v>
                </c:pt>
                <c:pt idx="490">
                  <c:v>-262.16113689885856</c:v>
                </c:pt>
                <c:pt idx="491">
                  <c:v>-262.19073213364715</c:v>
                </c:pt>
                <c:pt idx="492">
                  <c:v>-262.2201325220114</c:v>
                </c:pt>
                <c:pt idx="493">
                  <c:v>-262.24934005543457</c:v>
                </c:pt>
                <c:pt idx="494">
                  <c:v>-262.27835669848054</c:v>
                </c:pt>
                <c:pt idx="495">
                  <c:v>-262.30718438924509</c:v>
                </c:pt>
                <c:pt idx="496">
                  <c:v>-262.33582503979801</c:v>
                </c:pt>
                <c:pt idx="497">
                  <c:v>-262.36428053661632</c:v>
                </c:pt>
                <c:pt idx="498">
                  <c:v>-262.39255274100918</c:v>
                </c:pt>
                <c:pt idx="499">
                  <c:v>-262.42064348953431</c:v>
                </c:pt>
                <c:pt idx="500">
                  <c:v>-262.44855459440612</c:v>
                </c:pt>
                <c:pt idx="501">
                  <c:v>-262.4762878438957</c:v>
                </c:pt>
                <c:pt idx="502">
                  <c:v>-262.50384500272338</c:v>
                </c:pt>
                <c:pt idx="503">
                  <c:v>-262.53122781244343</c:v>
                </c:pt>
                <c:pt idx="504">
                  <c:v>-262.55843799182099</c:v>
                </c:pt>
                <c:pt idx="505">
                  <c:v>-262.58547723720233</c:v>
                </c:pt>
                <c:pt idx="506">
                  <c:v>-262.61234722287713</c:v>
                </c:pt>
                <c:pt idx="507">
                  <c:v>-262.63904960143481</c:v>
                </c:pt>
                <c:pt idx="508">
                  <c:v>-262.66558600411275</c:v>
                </c:pt>
                <c:pt idx="509">
                  <c:v>-262.69195804113917</c:v>
                </c:pt>
                <c:pt idx="510">
                  <c:v>-262.71816730206848</c:v>
                </c:pt>
                <c:pt idx="511">
                  <c:v>-262.74421535611054</c:v>
                </c:pt>
                <c:pt idx="512">
                  <c:v>-262.77010375245408</c:v>
                </c:pt>
                <c:pt idx="513">
                  <c:v>-262.79583402058319</c:v>
                </c:pt>
                <c:pt idx="514">
                  <c:v>-262.82140767058866</c:v>
                </c:pt>
                <c:pt idx="515">
                  <c:v>-262.84682619347302</c:v>
                </c:pt>
                <c:pt idx="516">
                  <c:v>-262.87209106144974</c:v>
                </c:pt>
                <c:pt idx="517">
                  <c:v>-262.8972037282374</c:v>
                </c:pt>
                <c:pt idx="518">
                  <c:v>-262.92216562934789</c:v>
                </c:pt>
                <c:pt idx="519">
                  <c:v>-262.94697818236915</c:v>
                </c:pt>
                <c:pt idx="520">
                  <c:v>-262.9716427872433</c:v>
                </c:pt>
                <c:pt idx="521">
                  <c:v>-262.99616082653915</c:v>
                </c:pt>
                <c:pt idx="522">
                  <c:v>-263.02053366571954</c:v>
                </c:pt>
                <c:pt idx="523">
                  <c:v>-263.04476265340452</c:v>
                </c:pt>
                <c:pt idx="524">
                  <c:v>-263.06884912162866</c:v>
                </c:pt>
                <c:pt idx="525">
                  <c:v>-263.09279438609479</c:v>
                </c:pt>
                <c:pt idx="526">
                  <c:v>-263.1165997464222</c:v>
                </c:pt>
                <c:pt idx="527">
                  <c:v>-263.14026648639071</c:v>
                </c:pt>
                <c:pt idx="528">
                  <c:v>-263.16379587418061</c:v>
                </c:pt>
                <c:pt idx="529">
                  <c:v>-263.18718916260775</c:v>
                </c:pt>
                <c:pt idx="530">
                  <c:v>-263.2104475893546</c:v>
                </c:pt>
                <c:pt idx="531">
                  <c:v>-263.23357237719745</c:v>
                </c:pt>
                <c:pt idx="532">
                  <c:v>-263.25656473422913</c:v>
                </c:pt>
                <c:pt idx="533">
                  <c:v>-263.27942585407789</c:v>
                </c:pt>
                <c:pt idx="534">
                  <c:v>-263.3021569161225</c:v>
                </c:pt>
                <c:pt idx="535">
                  <c:v>-263.32475908570365</c:v>
                </c:pt>
                <c:pt idx="536">
                  <c:v>-263.34723351433121</c:v>
                </c:pt>
                <c:pt idx="537">
                  <c:v>-263.3695813398881</c:v>
                </c:pt>
                <c:pt idx="538">
                  <c:v>-263.39180368683066</c:v>
                </c:pt>
                <c:pt idx="539">
                  <c:v>-263.4139016663853</c:v>
                </c:pt>
                <c:pt idx="540">
                  <c:v>-263.43587637674176</c:v>
                </c:pt>
                <c:pt idx="541">
                  <c:v>-263.45772890324326</c:v>
                </c:pt>
                <c:pt idx="542">
                  <c:v>-263.47946031857299</c:v>
                </c:pt>
                <c:pt idx="543">
                  <c:v>-263.50107168293749</c:v>
                </c:pt>
                <c:pt idx="544">
                  <c:v>-263.52256404424702</c:v>
                </c:pt>
                <c:pt idx="545">
                  <c:v>-263.54393843829251</c:v>
                </c:pt>
                <c:pt idx="546">
                  <c:v>-263.56519588892002</c:v>
                </c:pt>
                <c:pt idx="547">
                  <c:v>-263.58633740820125</c:v>
                </c:pt>
                <c:pt idx="548">
                  <c:v>-263.60736399660243</c:v>
                </c:pt>
                <c:pt idx="549">
                  <c:v>-263.62827664314904</c:v>
                </c:pt>
                <c:pt idx="550">
                  <c:v>-263.64907632558879</c:v>
                </c:pt>
                <c:pt idx="551">
                  <c:v>-263.66976401055103</c:v>
                </c:pt>
                <c:pt idx="552">
                  <c:v>-263.69034065370408</c:v>
                </c:pt>
                <c:pt idx="553">
                  <c:v>-263.71080719990937</c:v>
                </c:pt>
                <c:pt idx="554">
                  <c:v>-263.7311645833737</c:v>
                </c:pt>
                <c:pt idx="555">
                  <c:v>-263.75141372779797</c:v>
                </c:pt>
                <c:pt idx="556">
                  <c:v>-263.77155554652438</c:v>
                </c:pt>
                <c:pt idx="557">
                  <c:v>-263.79159094268067</c:v>
                </c:pt>
                <c:pt idx="558">
                  <c:v>-263.81152080932185</c:v>
                </c:pt>
                <c:pt idx="559">
                  <c:v>-263.83134602957011</c:v>
                </c:pt>
                <c:pt idx="560">
                  <c:v>-263.85106747675201</c:v>
                </c:pt>
                <c:pt idx="561">
                  <c:v>-263.87068601453319</c:v>
                </c:pt>
                <c:pt idx="562">
                  <c:v>-263.89020249705158</c:v>
                </c:pt>
                <c:pt idx="563">
                  <c:v>-263.90961776904783</c:v>
                </c:pt>
                <c:pt idx="564">
                  <c:v>-263.92893266599384</c:v>
                </c:pt>
                <c:pt idx="565">
                  <c:v>-263.94814801421904</c:v>
                </c:pt>
                <c:pt idx="566">
                  <c:v>-263.96726463103482</c:v>
                </c:pt>
                <c:pt idx="567">
                  <c:v>-263.98628332485697</c:v>
                </c:pt>
                <c:pt idx="568">
                  <c:v>-264.00520489532562</c:v>
                </c:pt>
                <c:pt idx="569">
                  <c:v>-264.02403013342411</c:v>
                </c:pt>
                <c:pt idx="570">
                  <c:v>-264.04275982159504</c:v>
                </c:pt>
                <c:pt idx="571">
                  <c:v>-264.06139473385531</c:v>
                </c:pt>
                <c:pt idx="572">
                  <c:v>-264.0799356359085</c:v>
                </c:pt>
                <c:pt idx="573">
                  <c:v>-264.09838328525609</c:v>
                </c:pt>
                <c:pt idx="574">
                  <c:v>-264.11673843130671</c:v>
                </c:pt>
                <c:pt idx="575">
                  <c:v>-264.13500181548341</c:v>
                </c:pt>
                <c:pt idx="576">
                  <c:v>-264.15317417132968</c:v>
                </c:pt>
                <c:pt idx="577">
                  <c:v>-264.17125622461322</c:v>
                </c:pt>
                <c:pt idx="578">
                  <c:v>-264.18924869342868</c:v>
                </c:pt>
                <c:pt idx="579">
                  <c:v>-264.20715228829852</c:v>
                </c:pt>
                <c:pt idx="580">
                  <c:v>-264.22496771227219</c:v>
                </c:pt>
                <c:pt idx="581">
                  <c:v>-264.24269566102362</c:v>
                </c:pt>
                <c:pt idx="582">
                  <c:v>-264.26033682294781</c:v>
                </c:pt>
                <c:pt idx="583">
                  <c:v>-264.27789187925532</c:v>
                </c:pt>
                <c:pt idx="584">
                  <c:v>-264.29536150406551</c:v>
                </c:pt>
                <c:pt idx="585">
                  <c:v>-264.31274636449825</c:v>
                </c:pt>
                <c:pt idx="586">
                  <c:v>-264.3300471207645</c:v>
                </c:pt>
                <c:pt idx="587">
                  <c:v>-264.34726442625492</c:v>
                </c:pt>
                <c:pt idx="588">
                  <c:v>-264.3643989276278</c:v>
                </c:pt>
                <c:pt idx="589">
                  <c:v>-264.38145126489519</c:v>
                </c:pt>
                <c:pt idx="590">
                  <c:v>-264.39842207150787</c:v>
                </c:pt>
                <c:pt idx="591">
                  <c:v>-264.41531197443885</c:v>
                </c:pt>
                <c:pt idx="592">
                  <c:v>-264.43212159426599</c:v>
                </c:pt>
                <c:pt idx="593">
                  <c:v>-264.44885154525286</c:v>
                </c:pt>
                <c:pt idx="594">
                  <c:v>-264.4655024354289</c:v>
                </c:pt>
                <c:pt idx="595">
                  <c:v>-264.4820748666678</c:v>
                </c:pt>
                <c:pt idx="596">
                  <c:v>-264.49856943476527</c:v>
                </c:pt>
                <c:pt idx="597">
                  <c:v>-264.51498672951521</c:v>
                </c:pt>
                <c:pt idx="598">
                  <c:v>-264.53132733478498</c:v>
                </c:pt>
                <c:pt idx="599">
                  <c:v>-264.54759182858936</c:v>
                </c:pt>
                <c:pt idx="600">
                  <c:v>-264.56378078316368</c:v>
                </c:pt>
                <c:pt idx="601">
                  <c:v>-264.57989476503553</c:v>
                </c:pt>
                <c:pt idx="602">
                  <c:v>-264.59593433509576</c:v>
                </c:pt>
                <c:pt idx="603">
                  <c:v>-264.61190004866785</c:v>
                </c:pt>
                <c:pt idx="604">
                  <c:v>-264.62779245557715</c:v>
                </c:pt>
                <c:pt idx="605">
                  <c:v>-264.64361210021826</c:v>
                </c:pt>
                <c:pt idx="606">
                  <c:v>-265.35245169332092</c:v>
                </c:pt>
                <c:pt idx="607">
                  <c:v>-265.93252621313491</c:v>
                </c:pt>
                <c:pt idx="608">
                  <c:v>-266.4187386642252</c:v>
                </c:pt>
                <c:pt idx="609">
                  <c:v>-266.83443550873955</c:v>
                </c:pt>
                <c:pt idx="610">
                  <c:v>-267.19581985872691</c:v>
                </c:pt>
                <c:pt idx="611">
                  <c:v>-267.51448734259554</c:v>
                </c:pt>
                <c:pt idx="612">
                  <c:v>-267.79895403315959</c:v>
                </c:pt>
                <c:pt idx="613">
                  <c:v>-268.05561452215261</c:v>
                </c:pt>
                <c:pt idx="614">
                  <c:v>-268.28936345448653</c:v>
                </c:pt>
                <c:pt idx="615">
                  <c:v>-268.50401074829131</c:v>
                </c:pt>
                <c:pt idx="616">
                  <c:v>-268.70256617740267</c:v>
                </c:pt>
                <c:pt idx="617">
                  <c:v>-268.88743886071416</c:v>
                </c:pt>
                <c:pt idx="618">
                  <c:v>-268.97393624659207</c:v>
                </c:pt>
                <c:pt idx="619">
                  <c:v>-269.05805490911422</c:v>
                </c:pt>
                <c:pt idx="620">
                  <c:v>-269.13992940242531</c:v>
                </c:pt>
                <c:pt idx="621">
                  <c:v>-269.21968431931765</c:v>
                </c:pt>
                <c:pt idx="622">
                  <c:v>-269.29743519612498</c:v>
                </c:pt>
                <c:pt idx="623">
                  <c:v>-269.37328932074718</c:v>
                </c:pt>
                <c:pt idx="624">
                  <c:v>-269.44734645569218</c:v>
                </c:pt>
                <c:pt idx="625">
                  <c:v>-269.51969948638032</c:v>
                </c:pt>
                <c:pt idx="626">
                  <c:v>-269.59043500357069</c:v>
                </c:pt>
                <c:pt idx="627">
                  <c:v>-269.65963382758878</c:v>
                </c:pt>
                <c:pt idx="628">
                  <c:v>-269.72737148102817</c:v>
                </c:pt>
                <c:pt idx="629">
                  <c:v>-269.79371861573884</c:v>
                </c:pt>
                <c:pt idx="630">
                  <c:v>-269.85874139917701</c:v>
                </c:pt>
                <c:pt idx="631">
                  <c:v>-269.92250186455897</c:v>
                </c:pt>
                <c:pt idx="632">
                  <c:v>-269.98505822871272</c:v>
                </c:pt>
                <c:pt idx="633">
                  <c:v>-270.04646518105204</c:v>
                </c:pt>
                <c:pt idx="634">
                  <c:v>-270.1067741466876</c:v>
                </c:pt>
                <c:pt idx="635">
                  <c:v>-270.16603352633535</c:v>
                </c:pt>
                <c:pt idx="636">
                  <c:v>-270.22428891537498</c:v>
                </c:pt>
                <c:pt idx="637">
                  <c:v>-270.28158330414215</c:v>
                </c:pt>
                <c:pt idx="638">
                  <c:v>-270.33795726130336</c:v>
                </c:pt>
                <c:pt idx="639">
                  <c:v>-270.39344910195689</c:v>
                </c:pt>
                <c:pt idx="640">
                  <c:v>-270.44809504192483</c:v>
                </c:pt>
                <c:pt idx="641">
                  <c:v>-270.50192933953986</c:v>
                </c:pt>
                <c:pt idx="642">
                  <c:v>-270.55498442609519</c:v>
                </c:pt>
                <c:pt idx="643">
                  <c:v>-270.60729102599993</c:v>
                </c:pt>
                <c:pt idx="644">
                  <c:v>-270.65887826757591</c:v>
                </c:pt>
                <c:pt idx="645">
                  <c:v>-270.70977378533524</c:v>
                </c:pt>
                <c:pt idx="646">
                  <c:v>-270.76000381449325</c:v>
                </c:pt>
                <c:pt idx="647">
                  <c:v>-270.80959327839565</c:v>
                </c:pt>
                <c:pt idx="648">
                  <c:v>-270.85856586947233</c:v>
                </c:pt>
                <c:pt idx="649">
                  <c:v>-270.90694412426961</c:v>
                </c:pt>
                <c:pt idx="650">
                  <c:v>-270.954749493061</c:v>
                </c:pt>
                <c:pt idx="651">
                  <c:v>-271.0020024044868</c:v>
                </c:pt>
                <c:pt idx="652">
                  <c:v>-271.04872232563326</c:v>
                </c:pt>
                <c:pt idx="653">
                  <c:v>-271.09492781792113</c:v>
                </c:pt>
                <c:pt idx="654">
                  <c:v>-271.14063658914148</c:v>
                </c:pt>
                <c:pt idx="655">
                  <c:v>-271.18586554194405</c:v>
                </c:pt>
                <c:pt idx="656">
                  <c:v>-271.23063081905866</c:v>
                </c:pt>
                <c:pt idx="657">
                  <c:v>-271.2749478455022</c:v>
                </c:pt>
                <c:pt idx="658">
                  <c:v>-271.31883136800394</c:v>
                </c:pt>
                <c:pt idx="659">
                  <c:v>-271.36229549185981</c:v>
                </c:pt>
                <c:pt idx="660">
                  <c:v>-271.40535371541046</c:v>
                </c:pt>
                <c:pt idx="661">
                  <c:v>-271.44801896231843</c:v>
                </c:pt>
                <c:pt idx="662">
                  <c:v>-271.49030361180803</c:v>
                </c:pt>
                <c:pt idx="663">
                  <c:v>-271.532219527015</c:v>
                </c:pt>
                <c:pt idx="664">
                  <c:v>-271.57377808158373</c:v>
                </c:pt>
                <c:pt idx="665">
                  <c:v>-271.6149901846361</c:v>
                </c:pt>
                <c:pt idx="666">
                  <c:v>-271.65586630422746</c:v>
                </c:pt>
                <c:pt idx="667">
                  <c:v>-271.69641648939557</c:v>
                </c:pt>
              </c:numCache>
            </c:numRef>
          </c:yVal>
          <c:smooth val="0"/>
          <c:extLst>
            <c:ext xmlns:c16="http://schemas.microsoft.com/office/drawing/2014/chart" uri="{C3380CC4-5D6E-409C-BE32-E72D297353CC}">
              <c16:uniqueId val="{00000002-DE38-44B7-9695-E775A3FAF9B4}"/>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DE38-44B7-9695-E775A3FAF9B4}"/>
            </c:ext>
          </c:extLst>
        </c:ser>
        <c:dLbls>
          <c:showLegendKey val="0"/>
          <c:showVal val="0"/>
          <c:showCatName val="0"/>
          <c:showSerName val="0"/>
          <c:showPercent val="0"/>
          <c:showBubbleSize val="0"/>
        </c:dLbls>
        <c:axId val="151834624"/>
        <c:axId val="151836160"/>
      </c:scatterChart>
      <c:valAx>
        <c:axId val="15182169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824256"/>
        <c:crossesAt val="-80"/>
        <c:crossBetween val="midCat"/>
      </c:valAx>
      <c:valAx>
        <c:axId val="15182425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821696"/>
        <c:crosses val="autoZero"/>
        <c:crossBetween val="midCat"/>
      </c:valAx>
      <c:valAx>
        <c:axId val="151834624"/>
        <c:scaling>
          <c:logBase val="10"/>
          <c:orientation val="minMax"/>
        </c:scaling>
        <c:delete val="1"/>
        <c:axPos val="b"/>
        <c:numFmt formatCode="General" sourceLinked="1"/>
        <c:majorTickMark val="out"/>
        <c:minorTickMark val="none"/>
        <c:tickLblPos val="none"/>
        <c:crossAx val="151836160"/>
        <c:crosses val="autoZero"/>
        <c:crossBetween val="midCat"/>
      </c:valAx>
      <c:valAx>
        <c:axId val="151836160"/>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zh-CN"/>
          </a:p>
        </c:txPr>
        <c:crossAx val="151834624"/>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Calculations'!$AR$9:$AR$209</c:f>
              <c:numCache>
                <c:formatCode>0.0</c:formatCode>
                <c:ptCount val="201"/>
                <c:pt idx="0">
                  <c:v>11.844716438089119</c:v>
                </c:pt>
                <c:pt idx="1">
                  <c:v>12.016075356416266</c:v>
                </c:pt>
                <c:pt idx="2">
                  <c:v>12.188364130381487</c:v>
                </c:pt>
                <c:pt idx="3">
                  <c:v>12.361584767780123</c:v>
                </c:pt>
                <c:pt idx="4">
                  <c:v>12.535739296708078</c:v>
                </c:pt>
                <c:pt idx="5">
                  <c:v>12.710829765640341</c:v>
                </c:pt>
                <c:pt idx="6">
                  <c:v>12.886858243510632</c:v>
                </c:pt>
                <c:pt idx="7">
                  <c:v>13.063826819792149</c:v>
                </c:pt>
                <c:pt idx="8">
                  <c:v>13.241737604579484</c:v>
                </c:pt>
                <c:pt idx="9">
                  <c:v>13.420592728671627</c:v>
                </c:pt>
                <c:pt idx="10">
                  <c:v>13.600394343656125</c:v>
                </c:pt>
                <c:pt idx="11">
                  <c:v>13.781144621994395</c:v>
                </c:pt>
                <c:pt idx="12">
                  <c:v>13.962845757108211</c:v>
                </c:pt>
                <c:pt idx="13">
                  <c:v>14.145499963467303</c:v>
                </c:pt>
                <c:pt idx="14">
                  <c:v>14.329109476678168</c:v>
                </c:pt>
                <c:pt idx="15">
                  <c:v>14.51367655357403</c:v>
                </c:pt>
                <c:pt idx="16">
                  <c:v>14.699203472305989</c:v>
                </c:pt>
                <c:pt idx="17">
                  <c:v>14.88569253243541</c:v>
                </c:pt>
                <c:pt idx="18">
                  <c:v>15.073146055027408</c:v>
                </c:pt>
                <c:pt idx="19">
                  <c:v>15.26156638274565</c:v>
                </c:pt>
                <c:pt idx="20">
                  <c:v>15.450955879948303</c:v>
                </c:pt>
                <c:pt idx="21">
                  <c:v>15.641316932785212</c:v>
                </c:pt>
                <c:pt idx="22">
                  <c:v>15.832651949296347</c:v>
                </c:pt>
                <c:pt idx="23">
                  <c:v>16.024963359511467</c:v>
                </c:pt>
                <c:pt idx="24">
                  <c:v>16.218253615551014</c:v>
                </c:pt>
                <c:pt idx="25">
                  <c:v>16.412525191728292</c:v>
                </c:pt>
                <c:pt idx="26">
                  <c:v>16.607780584652886</c:v>
                </c:pt>
                <c:pt idx="27">
                  <c:v>16.804022313335409</c:v>
                </c:pt>
                <c:pt idx="28">
                  <c:v>17.001252919293467</c:v>
                </c:pt>
                <c:pt idx="29">
                  <c:v>17.199474966658947</c:v>
                </c:pt>
                <c:pt idx="30">
                  <c:v>17.398691042286625</c:v>
                </c:pt>
                <c:pt idx="31">
                  <c:v>17.598903755864036</c:v>
                </c:pt>
                <c:pt idx="32">
                  <c:v>18.00923269092587</c:v>
                </c:pt>
                <c:pt idx="33">
                  <c:v>18.617145108808426</c:v>
                </c:pt>
                <c:pt idx="34">
                  <c:v>19.156840866686469</c:v>
                </c:pt>
                <c:pt idx="35">
                  <c:v>19.628301462878234</c:v>
                </c:pt>
                <c:pt idx="36">
                  <c:v>20.031506925376583</c:v>
                </c:pt>
                <c:pt idx="37">
                  <c:v>20.366435809811502</c:v>
                </c:pt>
                <c:pt idx="38">
                  <c:v>20.63306519733187</c:v>
                </c:pt>
                <c:pt idx="39">
                  <c:v>20.831370692406278</c:v>
                </c:pt>
                <c:pt idx="40">
                  <c:v>20.961326420542523</c:v>
                </c:pt>
                <c:pt idx="41">
                  <c:v>21.323797819639292</c:v>
                </c:pt>
                <c:pt idx="42">
                  <c:v>21.711142254963857</c:v>
                </c:pt>
                <c:pt idx="43">
                  <c:v>22.09957587157519</c:v>
                </c:pt>
                <c:pt idx="44">
                  <c:v>22.489103506536186</c:v>
                </c:pt>
                <c:pt idx="45">
                  <c:v>22.879730024355791</c:v>
                </c:pt>
                <c:pt idx="46">
                  <c:v>23.27146031719144</c:v>
                </c:pt>
                <c:pt idx="47">
                  <c:v>23.664299305053209</c:v>
                </c:pt>
                <c:pt idx="48">
                  <c:v>24.058251936009654</c:v>
                </c:pt>
                <c:pt idx="49">
                  <c:v>24.453323186395476</c:v>
                </c:pt>
                <c:pt idx="50">
                  <c:v>24.849518061021051</c:v>
                </c:pt>
                <c:pt idx="51">
                  <c:v>25.246841593383596</c:v>
                </c:pt>
                <c:pt idx="52">
                  <c:v>25.645298845880333</c:v>
                </c:pt>
                <c:pt idx="53">
                  <c:v>26.044894910023402</c:v>
                </c:pt>
                <c:pt idx="54">
                  <c:v>26.445634906656689</c:v>
                </c:pt>
                <c:pt idx="55">
                  <c:v>26.847523986174487</c:v>
                </c:pt>
                <c:pt idx="56">
                  <c:v>27.250567328742154</c:v>
                </c:pt>
                <c:pt idx="57">
                  <c:v>27.654770144518576</c:v>
                </c:pt>
                <c:pt idx="58">
                  <c:v>28.060137673880725</c:v>
                </c:pt>
                <c:pt idx="59">
                  <c:v>28.466675187649997</c:v>
                </c:pt>
                <c:pt idx="60">
                  <c:v>28.874387987320759</c:v>
                </c:pt>
                <c:pt idx="61">
                  <c:v>29.28328140529068</c:v>
                </c:pt>
                <c:pt idx="62">
                  <c:v>29.693360805093249</c:v>
                </c:pt>
                <c:pt idx="63">
                  <c:v>30.104631581632319</c:v>
                </c:pt>
                <c:pt idx="64">
                  <c:v>30.517099161418631</c:v>
                </c:pt>
                <c:pt idx="65">
                  <c:v>30.93076900280855</c:v>
                </c:pt>
                <c:pt idx="66">
                  <c:v>31.345646596244809</c:v>
                </c:pt>
                <c:pt idx="67">
                  <c:v>31.761737464499529</c:v>
                </c:pt>
                <c:pt idx="68">
                  <c:v>32.179047162919225</c:v>
                </c:pt>
                <c:pt idx="69">
                  <c:v>32.597581279672106</c:v>
                </c:pt>
                <c:pt idx="70">
                  <c:v>33.017345435997676</c:v>
                </c:pt>
                <c:pt idx="71">
                  <c:v>33.438345286458265</c:v>
                </c:pt>
                <c:pt idx="72">
                  <c:v>33.860586519193113</c:v>
                </c:pt>
                <c:pt idx="73">
                  <c:v>34.284074856174669</c:v>
                </c:pt>
                <c:pt idx="74">
                  <c:v>34.708816053466975</c:v>
                </c:pt>
                <c:pt idx="75">
                  <c:v>35.134815901486718</c:v>
                </c:pt>
                <c:pt idx="76">
                  <c:v>35.562080225266328</c:v>
                </c:pt>
                <c:pt idx="77">
                  <c:v>35.990614884719704</c:v>
                </c:pt>
                <c:pt idx="78">
                  <c:v>36.4204257749101</c:v>
                </c:pt>
                <c:pt idx="79">
                  <c:v>36.851518826320664</c:v>
                </c:pt>
                <c:pt idx="80">
                  <c:v>37.283900005127258</c:v>
                </c:pt>
                <c:pt idx="81">
                  <c:v>37.717575313473844</c:v>
                </c:pt>
                <c:pt idx="82">
                  <c:v>38.152550789750428</c:v>
                </c:pt>
                <c:pt idx="83">
                  <c:v>38.588832508873381</c:v>
                </c:pt>
                <c:pt idx="84">
                  <c:v>39.026426582568433</c:v>
                </c:pt>
                <c:pt idx="85">
                  <c:v>39.465339159656274</c:v>
                </c:pt>
                <c:pt idx="86">
                  <c:v>39.905576426340694</c:v>
                </c:pt>
                <c:pt idx="87">
                  <c:v>40.347144606499477</c:v>
                </c:pt>
                <c:pt idx="88">
                  <c:v>40.790049961977779</c:v>
                </c:pt>
                <c:pt idx="89">
                  <c:v>41.234298792884452</c:v>
                </c:pt>
                <c:pt idx="90">
                  <c:v>41.679897437890915</c:v>
                </c:pt>
                <c:pt idx="91">
                  <c:v>42.126852274532865</c:v>
                </c:pt>
                <c:pt idx="92">
                  <c:v>42.575169719514818</c:v>
                </c:pt>
                <c:pt idx="93">
                  <c:v>43.024856229017288</c:v>
                </c:pt>
                <c:pt idx="94">
                  <c:v>43.475918299007162</c:v>
                </c:pt>
                <c:pt idx="95">
                  <c:v>43.928362465550585</c:v>
                </c:pt>
                <c:pt idx="96">
                  <c:v>44.382195305129002</c:v>
                </c:pt>
                <c:pt idx="97">
                  <c:v>44.837423434958076</c:v>
                </c:pt>
                <c:pt idx="98">
                  <c:v>45.294053513309635</c:v>
                </c:pt>
                <c:pt idx="99">
                  <c:v>45.752092239836493</c:v>
                </c:pt>
                <c:pt idx="100">
                  <c:v>46.211546355900502</c:v>
                </c:pt>
                <c:pt idx="101">
                  <c:v>46.672422644903605</c:v>
                </c:pt>
                <c:pt idx="102">
                  <c:v>47.134727932621963</c:v>
                </c:pt>
                <c:pt idx="103">
                  <c:v>47.598469087543279</c:v>
                </c:pt>
                <c:pt idx="104">
                  <c:v>48.063653021207358</c:v>
                </c:pt>
                <c:pt idx="105">
                  <c:v>48.530286688549737</c:v>
                </c:pt>
                <c:pt idx="106">
                  <c:v>48.998377088248787</c:v>
                </c:pt>
                <c:pt idx="107">
                  <c:v>49.467931263075883</c:v>
                </c:pt>
                <c:pt idx="108">
                  <c:v>49.938956300249117</c:v>
                </c:pt>
                <c:pt idx="109">
                  <c:v>50.411459331790162</c:v>
                </c:pt>
                <c:pt idx="110">
                  <c:v>50.885447534884754</c:v>
                </c:pt>
                <c:pt idx="111">
                  <c:v>51.360928132246485</c:v>
                </c:pt>
                <c:pt idx="112">
                  <c:v>51.837908392484088</c:v>
                </c:pt>
                <c:pt idx="113">
                  <c:v>52.316395630472279</c:v>
                </c:pt>
                <c:pt idx="114">
                  <c:v>52.796397207726251</c:v>
                </c:pt>
                <c:pt idx="115">
                  <c:v>53.277920532779476</c:v>
                </c:pt>
                <c:pt idx="116">
                  <c:v>53.760973061565522</c:v>
                </c:pt>
                <c:pt idx="117">
                  <c:v>54.245562297803339</c:v>
                </c:pt>
                <c:pt idx="118">
                  <c:v>54.73169579338618</c:v>
                </c:pt>
                <c:pt idx="119">
                  <c:v>55.219381148774659</c:v>
                </c:pt>
                <c:pt idx="120">
                  <c:v>55.708626013393193</c:v>
                </c:pt>
                <c:pt idx="121">
                  <c:v>56.199438086030504</c:v>
                </c:pt>
                <c:pt idx="122">
                  <c:v>56.691825115244121</c:v>
                </c:pt>
                <c:pt idx="123">
                  <c:v>57.185794899768624</c:v>
                </c:pt>
                <c:pt idx="124">
                  <c:v>57.681355288927975</c:v>
                </c:pt>
                <c:pt idx="125">
                  <c:v>58.178514183051853</c:v>
                </c:pt>
                <c:pt idx="126">
                  <c:v>58.67727953389619</c:v>
                </c:pt>
                <c:pt idx="127">
                  <c:v>59.177659345067624</c:v>
                </c:pt>
                <c:pt idx="128">
                  <c:v>59.679661672452269</c:v>
                </c:pt>
                <c:pt idx="129">
                  <c:v>60.183294624648745</c:v>
                </c:pt>
                <c:pt idx="130">
                  <c:v>60.688566363405272</c:v>
                </c:pt>
                <c:pt idx="131">
                  <c:v>61.195485104061497</c:v>
                </c:pt>
                <c:pt idx="132">
                  <c:v>61.704059115994148</c:v>
                </c:pt>
                <c:pt idx="133">
                  <c:v>62.214296723067484</c:v>
                </c:pt>
                <c:pt idx="134">
                  <c:v>62.726206304088272</c:v>
                </c:pt>
                <c:pt idx="135">
                  <c:v>63.239796293264952</c:v>
                </c:pt>
                <c:pt idx="136">
                  <c:v>63.755075180671724</c:v>
                </c:pt>
                <c:pt idx="137">
                  <c:v>64.272051512717027</c:v>
                </c:pt>
                <c:pt idx="138">
                  <c:v>64.790733892616913</c:v>
                </c:pt>
                <c:pt idx="139">
                  <c:v>65.311130980872989</c:v>
                </c:pt>
                <c:pt idx="140">
                  <c:v>65.833251495755206</c:v>
                </c:pt>
                <c:pt idx="141">
                  <c:v>66.35710421378964</c:v>
                </c:pt>
                <c:pt idx="142">
                  <c:v>66.882697970250931</c:v>
                </c:pt>
                <c:pt idx="143">
                  <c:v>67.410041659659996</c:v>
                </c:pt>
                <c:pt idx="144">
                  <c:v>67.939144236286467</c:v>
                </c:pt>
                <c:pt idx="145">
                  <c:v>68.470014714656472</c:v>
                </c:pt>
                <c:pt idx="146">
                  <c:v>69.00266217006542</c:v>
                </c:pt>
                <c:pt idx="147">
                  <c:v>69.537095739096088</c:v>
                </c:pt>
                <c:pt idx="148">
                  <c:v>70.073324620141847</c:v>
                </c:pt>
                <c:pt idx="149">
                  <c:v>70.611358073935392</c:v>
                </c:pt>
                <c:pt idx="150">
                  <c:v>71.151205424082804</c:v>
                </c:pt>
                <c:pt idx="151">
                  <c:v>71.692876057603002</c:v>
                </c:pt>
                <c:pt idx="152">
                  <c:v>72.236379425472904</c:v>
                </c:pt>
                <c:pt idx="153">
                  <c:v>72.781725043177985</c:v>
                </c:pt>
                <c:pt idx="154">
                  <c:v>73.328922491268614</c:v>
                </c:pt>
                <c:pt idx="155">
                  <c:v>73.877981415922108</c:v>
                </c:pt>
                <c:pt idx="156">
                  <c:v>74.428911529510643</c:v>
                </c:pt>
                <c:pt idx="157">
                  <c:v>74.981722611174973</c:v>
                </c:pt>
                <c:pt idx="158">
                  <c:v>75.536424507404021</c:v>
                </c:pt>
                <c:pt idx="159">
                  <c:v>76.093027132620634</c:v>
                </c:pt>
                <c:pt idx="160">
                  <c:v>76.651540469773437</c:v>
                </c:pt>
                <c:pt idx="161">
                  <c:v>77.211974570934615</c:v>
                </c:pt>
                <c:pt idx="162">
                  <c:v>77.774339557904298</c:v>
                </c:pt>
                <c:pt idx="163">
                  <c:v>78.338645622820863</c:v>
                </c:pt>
                <c:pt idx="164">
                  <c:v>78.904903028778079</c:v>
                </c:pt>
                <c:pt idx="165">
                  <c:v>79.473122110448216</c:v>
                </c:pt>
                <c:pt idx="166">
                  <c:v>80.043313274712148</c:v>
                </c:pt>
                <c:pt idx="167">
                  <c:v>80.615487001295904</c:v>
                </c:pt>
                <c:pt idx="168">
                  <c:v>81.189653843413851</c:v>
                </c:pt>
                <c:pt idx="169">
                  <c:v>81.765824428418838</c:v>
                </c:pt>
                <c:pt idx="170">
                  <c:v>82.344009458459169</c:v>
                </c:pt>
                <c:pt idx="171">
                  <c:v>82.924219711142371</c:v>
                </c:pt>
                <c:pt idx="172">
                  <c:v>83.506466040206391</c:v>
                </c:pt>
                <c:pt idx="173">
                  <c:v>84.090759376197539</c:v>
                </c:pt>
                <c:pt idx="174">
                  <c:v>84.677110727155949</c:v>
                </c:pt>
                <c:pt idx="175">
                  <c:v>85.265531179308184</c:v>
                </c:pt>
                <c:pt idx="176">
                  <c:v>85.856031897767338</c:v>
                </c:pt>
                <c:pt idx="177">
                  <c:v>86.448624127240564</c:v>
                </c:pt>
                <c:pt idx="178">
                  <c:v>87.043319192744434</c:v>
                </c:pt>
                <c:pt idx="179">
                  <c:v>87.640128500327535</c:v>
                </c:pt>
                <c:pt idx="180">
                  <c:v>88.239063537801485</c:v>
                </c:pt>
                <c:pt idx="181">
                  <c:v>88.840135875479277</c:v>
                </c:pt>
                <c:pt idx="182">
                  <c:v>89.443357166921828</c:v>
                </c:pt>
                <c:pt idx="183">
                  <c:v>90.048739149692807</c:v>
                </c:pt>
                <c:pt idx="184">
                  <c:v>90.656293646121227</c:v>
                </c:pt>
                <c:pt idx="185">
                  <c:v>91.266032564072859</c:v>
                </c:pt>
                <c:pt idx="186">
                  <c:v>91.87796789772959</c:v>
                </c:pt>
                <c:pt idx="187">
                  <c:v>92.492111728377495</c:v>
                </c:pt>
                <c:pt idx="188">
                  <c:v>93.108476225203646</c:v>
                </c:pt>
                <c:pt idx="189">
                  <c:v>93.727073646101488</c:v>
                </c:pt>
                <c:pt idx="190">
                  <c:v>94.347916338484978</c:v>
                </c:pt>
                <c:pt idx="191">
                  <c:v>94.971016740111864</c:v>
                </c:pt>
                <c:pt idx="192">
                  <c:v>95.596387379916081</c:v>
                </c:pt>
                <c:pt idx="193">
                  <c:v>96.224040878849053</c:v>
                </c:pt>
                <c:pt idx="194">
                  <c:v>96.853989950730551</c:v>
                </c:pt>
                <c:pt idx="195">
                  <c:v>97.486247403109061</c:v>
                </c:pt>
                <c:pt idx="196">
                  <c:v>98.120826138131207</c:v>
                </c:pt>
                <c:pt idx="197">
                  <c:v>98.757739153421511</c:v>
                </c:pt>
                <c:pt idx="198">
                  <c:v>99.396999542971514</c:v>
                </c:pt>
                <c:pt idx="199">
                  <c:v>100.03862049803891</c:v>
                </c:pt>
                <c:pt idx="200">
                  <c:v>100.68261530805684</c:v>
                </c:pt>
              </c:numCache>
            </c:numRef>
          </c:yVal>
          <c:smooth val="0"/>
          <c:extLst>
            <c:ext xmlns:c16="http://schemas.microsoft.com/office/drawing/2014/chart" uri="{C3380CC4-5D6E-409C-BE32-E72D297353CC}">
              <c16:uniqueId val="{00000000-DEA4-4BB3-B335-0CE3C788A4A2}"/>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Calculations'!$AS$9:$AS$209</c:f>
              <c:numCache>
                <c:formatCode>0.0</c:formatCode>
                <c:ptCount val="201"/>
                <c:pt idx="0">
                  <c:v>2.6457786421589602</c:v>
                </c:pt>
                <c:pt idx="1">
                  <c:v>2.7064531916524306</c:v>
                </c:pt>
                <c:pt idx="2">
                  <c:v>2.7680538519785571</c:v>
                </c:pt>
                <c:pt idx="3">
                  <c:v>2.8305811606113478</c:v>
                </c:pt>
                <c:pt idx="4">
                  <c:v>2.8940356752514171</c:v>
                </c:pt>
                <c:pt idx="5">
                  <c:v>2.9584179738416689</c:v>
                </c:pt>
                <c:pt idx="6">
                  <c:v>3.0237286545840809</c:v>
                </c:pt>
                <c:pt idx="7">
                  <c:v>3.08996833595759</c:v>
                </c:pt>
                <c:pt idx="8">
                  <c:v>3.1571376567370919</c:v>
                </c:pt>
                <c:pt idx="9">
                  <c:v>3.2252372760135541</c:v>
                </c:pt>
                <c:pt idx="10">
                  <c:v>3.2942678732152264</c:v>
                </c:pt>
                <c:pt idx="11">
                  <c:v>3.3642301481299755</c:v>
                </c:pt>
                <c:pt idx="12">
                  <c:v>3.4351248209287282</c:v>
                </c:pt>
                <c:pt idx="13">
                  <c:v>3.5069526321900266</c:v>
                </c:pt>
                <c:pt idx="14">
                  <c:v>3.5797143429257092</c:v>
                </c:pt>
                <c:pt idx="15">
                  <c:v>3.6534107346076974</c:v>
                </c:pt>
                <c:pt idx="16">
                  <c:v>3.7280426091959153</c:v>
                </c:pt>
                <c:pt idx="17">
                  <c:v>3.8036107891673261</c:v>
                </c:pt>
                <c:pt idx="18">
                  <c:v>3.8801161175460939</c:v>
                </c:pt>
                <c:pt idx="19">
                  <c:v>3.9575594579348712</c:v>
                </c:pt>
                <c:pt idx="20">
                  <c:v>4.0359416945472226</c:v>
                </c:pt>
                <c:pt idx="21">
                  <c:v>4.1152637322411714</c:v>
                </c:pt>
                <c:pt idx="22">
                  <c:v>4.195526496553887</c:v>
                </c:pt>
                <c:pt idx="23">
                  <c:v>4.2767309337375137</c:v>
                </c:pt>
                <c:pt idx="24">
                  <c:v>4.3588780107961318</c:v>
                </c:pt>
                <c:pt idx="25">
                  <c:v>4.4419687155238599</c:v>
                </c:pt>
                <c:pt idx="26">
                  <c:v>4.5260040565441262</c:v>
                </c:pt>
                <c:pt idx="27">
                  <c:v>4.6109850633500509</c:v>
                </c:pt>
                <c:pt idx="28">
                  <c:v>4.6969127863460312</c:v>
                </c:pt>
                <c:pt idx="29">
                  <c:v>4.7837882968904344</c:v>
                </c:pt>
                <c:pt idx="30">
                  <c:v>4.8716126873394838</c:v>
                </c:pt>
                <c:pt idx="31">
                  <c:v>4.9603870710922999</c:v>
                </c:pt>
                <c:pt idx="32">
                  <c:v>5.0501125826371052</c:v>
                </c:pt>
                <c:pt idx="33">
                  <c:v>5.1407903775986066</c:v>
                </c:pt>
                <c:pt idx="34">
                  <c:v>5.2324216327865498</c:v>
                </c:pt>
                <c:pt idx="35">
                  <c:v>5.3250075462454625</c:v>
                </c:pt>
                <c:pt idx="36">
                  <c:v>5.4185493373055689</c:v>
                </c:pt>
                <c:pt idx="37">
                  <c:v>5.5130482466349013</c:v>
                </c:pt>
                <c:pt idx="38">
                  <c:v>5.6085055362926113</c:v>
                </c:pt>
                <c:pt idx="39">
                  <c:v>5.7049224897834687</c:v>
                </c:pt>
                <c:pt idx="40">
                  <c:v>5.8023004121135626</c:v>
                </c:pt>
                <c:pt idx="41">
                  <c:v>5.9558618452672416</c:v>
                </c:pt>
                <c:pt idx="42">
                  <c:v>6.1152882231699284</c:v>
                </c:pt>
                <c:pt idx="43">
                  <c:v>6.2756985422058751</c:v>
                </c:pt>
                <c:pt idx="44">
                  <c:v>6.4370948613537857</c:v>
                </c:pt>
                <c:pt idx="45">
                  <c:v>6.5994792620924629</c:v>
                </c:pt>
                <c:pt idx="46">
                  <c:v>6.7628538484886924</c:v>
                </c:pt>
                <c:pt idx="47">
                  <c:v>6.9272207472863823</c:v>
                </c:pt>
                <c:pt idx="48">
                  <c:v>7.0925821079970506</c:v>
                </c:pt>
                <c:pt idx="49">
                  <c:v>7.2589401029915841</c:v>
                </c:pt>
                <c:pt idx="50">
                  <c:v>7.4262969275933486</c:v>
                </c:pt>
                <c:pt idx="51">
                  <c:v>7.5946548001726111</c:v>
                </c:pt>
                <c:pt idx="52">
                  <c:v>7.7640159622423095</c:v>
                </c:pt>
                <c:pt idx="53">
                  <c:v>7.9343826785551501</c:v>
                </c:pt>
                <c:pt idx="54">
                  <c:v>8.1057572372020843</c:v>
                </c:pt>
                <c:pt idx="55">
                  <c:v>8.2781419497121291</c:v>
                </c:pt>
                <c:pt idx="56">
                  <c:v>8.4515391511535665</c:v>
                </c:pt>
                <c:pt idx="57">
                  <c:v>8.6259512002365195</c:v>
                </c:pt>
                <c:pt idx="58">
                  <c:v>8.8013804794169435</c:v>
                </c:pt>
                <c:pt idx="59">
                  <c:v>8.9778293950019616</c:v>
                </c:pt>
                <c:pt idx="60">
                  <c:v>9.1553003772566797</c:v>
                </c:pt>
                <c:pt idx="61">
                  <c:v>9.3337958805123584</c:v>
                </c:pt>
                <c:pt idx="62">
                  <c:v>9.513318383276065</c:v>
                </c:pt>
                <c:pt idx="63">
                  <c:v>9.6938703883417254</c:v>
                </c:pt>
                <c:pt idx="64">
                  <c:v>9.8754544229026511</c:v>
                </c:pt>
                <c:pt idx="65">
                  <c:v>10.058073038665507</c:v>
                </c:pt>
                <c:pt idx="66">
                  <c:v>10.241728811965778</c:v>
                </c:pt>
                <c:pt idx="67">
                  <c:v>10.426424343884671</c:v>
                </c:pt>
                <c:pt idx="68">
                  <c:v>10.612162260367571</c:v>
                </c:pt>
                <c:pt idx="69">
                  <c:v>10.798945212343925</c:v>
                </c:pt>
                <c:pt idx="70">
                  <c:v>10.986775875848732</c:v>
                </c:pt>
                <c:pt idx="71">
                  <c:v>11.175656952145454</c:v>
                </c:pt>
                <c:pt idx="72">
                  <c:v>11.365591167850557</c:v>
                </c:pt>
                <c:pt idx="73">
                  <c:v>11.556581275059553</c:v>
                </c:pt>
                <c:pt idx="74">
                  <c:v>11.748630051474606</c:v>
                </c:pt>
                <c:pt idx="75">
                  <c:v>11.941740300533729</c:v>
                </c:pt>
                <c:pt idx="76">
                  <c:v>12.135914851541543</c:v>
                </c:pt>
                <c:pt idx="77">
                  <c:v>12.331156559801668</c:v>
                </c:pt>
                <c:pt idx="78">
                  <c:v>12.527468306750672</c:v>
                </c:pt>
                <c:pt idx="79">
                  <c:v>12.724853000093717</c:v>
                </c:pt>
                <c:pt idx="80">
                  <c:v>12.92331357394176</c:v>
                </c:pt>
                <c:pt idx="81">
                  <c:v>13.122852988950479</c:v>
                </c:pt>
                <c:pt idx="82">
                  <c:v>13.323474232460786</c:v>
                </c:pt>
                <c:pt idx="83">
                  <c:v>13.525180318641114</c:v>
                </c:pt>
                <c:pt idx="84">
                  <c:v>13.727974288631298</c:v>
                </c:pt>
                <c:pt idx="85">
                  <c:v>13.931859210688208</c:v>
                </c:pt>
                <c:pt idx="86">
                  <c:v>14.136838180333092</c:v>
                </c:pt>
                <c:pt idx="87">
                  <c:v>14.3429143205007</c:v>
                </c:pt>
                <c:pt idx="88">
                  <c:v>14.550090781690047</c:v>
                </c:pt>
                <c:pt idx="89">
                  <c:v>14.758370742117046</c:v>
                </c:pt>
                <c:pt idx="90">
                  <c:v>14.96775740786887</c:v>
                </c:pt>
                <c:pt idx="91">
                  <c:v>15.178254013060114</c:v>
                </c:pt>
                <c:pt idx="92">
                  <c:v>15.389863819990769</c:v>
                </c:pt>
                <c:pt idx="93">
                  <c:v>15.602590119306004</c:v>
                </c:pt>
                <c:pt idx="94">
                  <c:v>15.81643623015783</c:v>
                </c:pt>
                <c:pt idx="95">
                  <c:v>16.031405500368585</c:v>
                </c:pt>
                <c:pt idx="96">
                  <c:v>16.247501306596281</c:v>
                </c:pt>
                <c:pt idx="97">
                  <c:v>16.464727054501896</c:v>
                </c:pt>
                <c:pt idx="98">
                  <c:v>16.683086178918522</c:v>
                </c:pt>
                <c:pt idx="99">
                  <c:v>16.902582144022446</c:v>
                </c:pt>
                <c:pt idx="100">
                  <c:v>17.12321844350619</c:v>
                </c:pt>
                <c:pt idx="101">
                  <c:v>17.344998600753524</c:v>
                </c:pt>
                <c:pt idx="102">
                  <c:v>17.567926169016371</c:v>
                </c:pt>
                <c:pt idx="103">
                  <c:v>17.792004731593838</c:v>
                </c:pt>
                <c:pt idx="104">
                  <c:v>18.017237902013143</c:v>
                </c:pt>
                <c:pt idx="105">
                  <c:v>18.243629324212627</c:v>
                </c:pt>
                <c:pt idx="106">
                  <c:v>18.47118267272684</c:v>
                </c:pt>
                <c:pt idx="107">
                  <c:v>18.699901652873653</c:v>
                </c:pt>
                <c:pt idx="108">
                  <c:v>18.929790000943434</c:v>
                </c:pt>
                <c:pt idx="109">
                  <c:v>19.160851484390445</c:v>
                </c:pt>
                <c:pt idx="110">
                  <c:v>19.393089902026251</c:v>
                </c:pt>
                <c:pt idx="111">
                  <c:v>19.626509084215321</c:v>
                </c:pt>
                <c:pt idx="112">
                  <c:v>19.861112893072828</c:v>
                </c:pt>
                <c:pt idx="113">
                  <c:v>20.096905222664578</c:v>
                </c:pt>
                <c:pt idx="114">
                  <c:v>20.333889999209223</c:v>
                </c:pt>
                <c:pt idx="115">
                  <c:v>20.572071181282652</c:v>
                </c:pt>
                <c:pt idx="116">
                  <c:v>20.811452760024622</c:v>
                </c:pt>
                <c:pt idx="117">
                  <c:v>21.052038759347749</c:v>
                </c:pt>
                <c:pt idx="118">
                  <c:v>21.293833236148718</c:v>
                </c:pt>
                <c:pt idx="119">
                  <c:v>21.53684028052183</c:v>
                </c:pt>
                <c:pt idx="120">
                  <c:v>21.781064015974948</c:v>
                </c:pt>
                <c:pt idx="121">
                  <c:v>22.026508599647702</c:v>
                </c:pt>
                <c:pt idx="122">
                  <c:v>22.273178222532191</c:v>
                </c:pt>
                <c:pt idx="123">
                  <c:v>22.521077109696101</c:v>
                </c:pt>
                <c:pt idx="124">
                  <c:v>22.770209520508097</c:v>
                </c:pt>
                <c:pt idx="125">
                  <c:v>23.020579748865906</c:v>
                </c:pt>
                <c:pt idx="126">
                  <c:v>23.272192123426777</c:v>
                </c:pt>
                <c:pt idx="127">
                  <c:v>23.525051007840393</c:v>
                </c:pt>
                <c:pt idx="128">
                  <c:v>23.779160800984432</c:v>
                </c:pt>
                <c:pt idx="129">
                  <c:v>24.034525937202655</c:v>
                </c:pt>
                <c:pt idx="130">
                  <c:v>24.291150886545569</c:v>
                </c:pt>
                <c:pt idx="131">
                  <c:v>24.549040155013703</c:v>
                </c:pt>
                <c:pt idx="132">
                  <c:v>24.808198284803566</c:v>
                </c:pt>
                <c:pt idx="133">
                  <c:v>25.068629854556235</c:v>
                </c:pt>
                <c:pt idx="134">
                  <c:v>25.330339479608643</c:v>
                </c:pt>
                <c:pt idx="135">
                  <c:v>25.593331812247694</c:v>
                </c:pt>
                <c:pt idx="136">
                  <c:v>25.857611541966939</c:v>
                </c:pt>
                <c:pt idx="137">
                  <c:v>26.123183395726198</c:v>
                </c:pt>
                <c:pt idx="138">
                  <c:v>26.390052138213992</c:v>
                </c:pt>
                <c:pt idx="139">
                  <c:v>26.658222572112699</c:v>
                </c:pt>
                <c:pt idx="140">
                  <c:v>26.927699538366699</c:v>
                </c:pt>
                <c:pt idx="141">
                  <c:v>27.198487916453367</c:v>
                </c:pt>
                <c:pt idx="142">
                  <c:v>27.470592624657026</c:v>
                </c:pt>
                <c:pt idx="143">
                  <c:v>27.744018620345834</c:v>
                </c:pt>
                <c:pt idx="144">
                  <c:v>28.018770900251745</c:v>
                </c:pt>
                <c:pt idx="145">
                  <c:v>28.29485450075336</c:v>
                </c:pt>
                <c:pt idx="146">
                  <c:v>28.572274498161999</c:v>
                </c:pt>
                <c:pt idx="147">
                  <c:v>28.851036009010762</c:v>
                </c:pt>
                <c:pt idx="148">
                  <c:v>29.131144190346763</c:v>
                </c:pt>
                <c:pt idx="149">
                  <c:v>29.412604240026507</c:v>
                </c:pt>
                <c:pt idx="150">
                  <c:v>29.695421397014499</c:v>
                </c:pt>
                <c:pt idx="151">
                  <c:v>29.979600941685025</c:v>
                </c:pt>
                <c:pt idx="152">
                  <c:v>30.265148196127274</c:v>
                </c:pt>
                <c:pt idx="153">
                  <c:v>30.552068524453691</c:v>
                </c:pt>
                <c:pt idx="154">
                  <c:v>30.840367333111722</c:v>
                </c:pt>
                <c:pt idx="155">
                  <c:v>31.130050071198962</c:v>
                </c:pt>
                <c:pt idx="156">
                  <c:v>31.421122230781606</c:v>
                </c:pt>
                <c:pt idx="157">
                  <c:v>31.713589347216431</c:v>
                </c:pt>
                <c:pt idx="158">
                  <c:v>32.007456999476346</c:v>
                </c:pt>
                <c:pt idx="159">
                  <c:v>32.302730810479261</c:v>
                </c:pt>
                <c:pt idx="160">
                  <c:v>32.599416447420765</c:v>
                </c:pt>
                <c:pt idx="161">
                  <c:v>32.897519622110195</c:v>
                </c:pt>
                <c:pt idx="162">
                  <c:v>33.197046091310568</c:v>
                </c:pt>
                <c:pt idx="163">
                  <c:v>33.498001657081957</c:v>
                </c:pt>
                <c:pt idx="164">
                  <c:v>33.800392167128926</c:v>
                </c:pt>
                <c:pt idx="165">
                  <c:v>34.104223515151396</c:v>
                </c:pt>
                <c:pt idx="166">
                  <c:v>34.409501641199483</c:v>
                </c:pt>
                <c:pt idx="167">
                  <c:v>34.716232532032365</c:v>
                </c:pt>
                <c:pt idx="168">
                  <c:v>35.024422221480734</c:v>
                </c:pt>
                <c:pt idx="169">
                  <c:v>35.334076790813356</c:v>
                </c:pt>
                <c:pt idx="170">
                  <c:v>35.645202369107807</c:v>
                </c:pt>
                <c:pt idx="171">
                  <c:v>35.957805133624824</c:v>
                </c:pt>
                <c:pt idx="172">
                  <c:v>36.271891310187172</c:v>
                </c:pt>
                <c:pt idx="173">
                  <c:v>36.587467173562423</c:v>
                </c:pt>
                <c:pt idx="174">
                  <c:v>36.904539047849909</c:v>
                </c:pt>
                <c:pt idx="175">
                  <c:v>37.223113306872079</c:v>
                </c:pt>
                <c:pt idx="176">
                  <c:v>37.543196374569945</c:v>
                </c:pt>
                <c:pt idx="177">
                  <c:v>37.864794725402916</c:v>
                </c:pt>
                <c:pt idx="178">
                  <c:v>38.187914884753113</c:v>
                </c:pt>
                <c:pt idx="179">
                  <c:v>38.512563429334008</c:v>
                </c:pt>
                <c:pt idx="180">
                  <c:v>38.838746987603614</c:v>
                </c:pt>
                <c:pt idx="181">
                  <c:v>39.166472240182166</c:v>
                </c:pt>
                <c:pt idx="182">
                  <c:v>39.495745920274402</c:v>
                </c:pt>
                <c:pt idx="183">
                  <c:v>39.826574814096588</c:v>
                </c:pt>
                <c:pt idx="184">
                  <c:v>40.158965761308096</c:v>
                </c:pt>
                <c:pt idx="185">
                  <c:v>40.492925655447834</c:v>
                </c:pt>
                <c:pt idx="186">
                  <c:v>40.828461444375499</c:v>
                </c:pt>
                <c:pt idx="187">
                  <c:v>41.165580130717686</c:v>
                </c:pt>
                <c:pt idx="188">
                  <c:v>41.504288772318873</c:v>
                </c:pt>
                <c:pt idx="189">
                  <c:v>41.844594482697531</c:v>
                </c:pt>
                <c:pt idx="190">
                  <c:v>42.186504431507139</c:v>
                </c:pt>
                <c:pt idx="191">
                  <c:v>42.530025845002392</c:v>
                </c:pt>
                <c:pt idx="192">
                  <c:v>42.875166006510653</c:v>
                </c:pt>
                <c:pt idx="193">
                  <c:v>43.221932256908453</c:v>
                </c:pt>
                <c:pt idx="194">
                  <c:v>43.570331995103473</c:v>
                </c:pt>
                <c:pt idx="195">
                  <c:v>43.920372678521858</c:v>
                </c:pt>
                <c:pt idx="196">
                  <c:v>44.272061823600808</c:v>
                </c:pt>
                <c:pt idx="197">
                  <c:v>44.625407006286991</c:v>
                </c:pt>
                <c:pt idx="198">
                  <c:v>44.980415862540134</c:v>
                </c:pt>
                <c:pt idx="199">
                  <c:v>45.33709608884255</c:v>
                </c:pt>
                <c:pt idx="200">
                  <c:v>45.695455442714284</c:v>
                </c:pt>
              </c:numCache>
            </c:numRef>
          </c:yVal>
          <c:smooth val="0"/>
          <c:extLst>
            <c:ext xmlns:c16="http://schemas.microsoft.com/office/drawing/2014/chart" uri="{C3380CC4-5D6E-409C-BE32-E72D297353CC}">
              <c16:uniqueId val="{00000001-DEA4-4BB3-B335-0CE3C788A4A2}"/>
            </c:ext>
          </c:extLst>
        </c:ser>
        <c:dLbls>
          <c:showLegendKey val="0"/>
          <c:showVal val="0"/>
          <c:showCatName val="0"/>
          <c:showSerName val="0"/>
          <c:showPercent val="0"/>
          <c:showBubbleSize val="0"/>
        </c:dLbls>
        <c:axId val="153649920"/>
        <c:axId val="153651840"/>
      </c:scatterChart>
      <c:valAx>
        <c:axId val="15364992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zh-CN"/>
          </a:p>
        </c:txPr>
        <c:crossAx val="153651840"/>
        <c:crosses val="autoZero"/>
        <c:crossBetween val="midCat"/>
      </c:valAx>
      <c:valAx>
        <c:axId val="15365184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zh-CN"/>
          </a:p>
        </c:txPr>
        <c:crossAx val="15364992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Calculations'!$AC$9:$AC$209</c:f>
              <c:numCache>
                <c:formatCode>0.0000</c:formatCode>
                <c:ptCount val="201"/>
                <c:pt idx="0">
                  <c:v>0.23689432876178237</c:v>
                </c:pt>
                <c:pt idx="1">
                  <c:v>0.24032150712832534</c:v>
                </c:pt>
                <c:pt idx="2">
                  <c:v>0.24376728260762973</c:v>
                </c:pt>
                <c:pt idx="3">
                  <c:v>0.24723169535560247</c:v>
                </c:pt>
                <c:pt idx="4">
                  <c:v>0.25071478593416158</c:v>
                </c:pt>
                <c:pt idx="5">
                  <c:v>0.25421659531280683</c:v>
                </c:pt>
                <c:pt idx="6">
                  <c:v>0.25773716487021264</c:v>
                </c:pt>
                <c:pt idx="7">
                  <c:v>0.26127653639584297</c:v>
                </c:pt>
                <c:pt idx="8">
                  <c:v>0.26483475209158969</c:v>
                </c:pt>
                <c:pt idx="9">
                  <c:v>0.26841185457343253</c:v>
                </c:pt>
                <c:pt idx="10">
                  <c:v>0.2720078868731225</c:v>
                </c:pt>
                <c:pt idx="11">
                  <c:v>0.27562289243988791</c:v>
                </c:pt>
                <c:pt idx="12">
                  <c:v>0.27925691514216422</c:v>
                </c:pt>
                <c:pt idx="13">
                  <c:v>0.28290999926934607</c:v>
                </c:pt>
                <c:pt idx="14">
                  <c:v>0.28658218953356335</c:v>
                </c:pt>
                <c:pt idx="15">
                  <c:v>0.29027353107148057</c:v>
                </c:pt>
                <c:pt idx="16">
                  <c:v>0.29398406944611977</c:v>
                </c:pt>
                <c:pt idx="17">
                  <c:v>0.2977138506487082</c:v>
                </c:pt>
                <c:pt idx="18">
                  <c:v>0.30146292110054818</c:v>
                </c:pt>
                <c:pt idx="19">
                  <c:v>0.30523132765491301</c:v>
                </c:pt>
                <c:pt idx="20">
                  <c:v>0.30901911759896605</c:v>
                </c:pt>
                <c:pt idx="21">
                  <c:v>0.31282633865570425</c:v>
                </c:pt>
                <c:pt idx="22">
                  <c:v>0.31665303898592695</c:v>
                </c:pt>
                <c:pt idx="23">
                  <c:v>0.32049926719022936</c:v>
                </c:pt>
                <c:pt idx="24">
                  <c:v>0.3243650723110203</c:v>
                </c:pt>
                <c:pt idx="25">
                  <c:v>0.32825050383456583</c:v>
                </c:pt>
                <c:pt idx="26">
                  <c:v>0.33215561169305774</c:v>
                </c:pt>
                <c:pt idx="27">
                  <c:v>0.33608044626670819</c:v>
                </c:pt>
                <c:pt idx="28">
                  <c:v>0.34002505838586933</c:v>
                </c:pt>
                <c:pt idx="29">
                  <c:v>0.34398949933317891</c:v>
                </c:pt>
                <c:pt idx="30">
                  <c:v>0.34797382084573247</c:v>
                </c:pt>
                <c:pt idx="31">
                  <c:v>0.35197807511728074</c:v>
                </c:pt>
                <c:pt idx="32">
                  <c:v>0.36018465381851739</c:v>
                </c:pt>
                <c:pt idx="33">
                  <c:v>0.37234290217616856</c:v>
                </c:pt>
                <c:pt idx="34">
                  <c:v>0.3831368173337294</c:v>
                </c:pt>
                <c:pt idx="35">
                  <c:v>0.39256602925756467</c:v>
                </c:pt>
                <c:pt idx="36">
                  <c:v>0.40063013850753165</c:v>
                </c:pt>
                <c:pt idx="37">
                  <c:v>0.40732871619623007</c:v>
                </c:pt>
                <c:pt idx="38">
                  <c:v>0.41266130394663741</c:v>
                </c:pt>
                <c:pt idx="39">
                  <c:v>0.41662741384812557</c:v>
                </c:pt>
                <c:pt idx="40">
                  <c:v>0.41922652841085045</c:v>
                </c:pt>
                <c:pt idx="41">
                  <c:v>0.42647595639278585</c:v>
                </c:pt>
                <c:pt idx="42">
                  <c:v>0.43422284509927711</c:v>
                </c:pt>
                <c:pt idx="43">
                  <c:v>0.44199151743150383</c:v>
                </c:pt>
                <c:pt idx="44">
                  <c:v>0.44978207013072369</c:v>
                </c:pt>
                <c:pt idx="45">
                  <c:v>0.45759460048711581</c:v>
                </c:pt>
                <c:pt idx="46">
                  <c:v>0.46542920634382884</c:v>
                </c:pt>
                <c:pt idx="47">
                  <c:v>0.4732859861010642</c:v>
                </c:pt>
                <c:pt idx="48">
                  <c:v>0.48116503872019306</c:v>
                </c:pt>
                <c:pt idx="49">
                  <c:v>0.48906646372790952</c:v>
                </c:pt>
                <c:pt idx="50">
                  <c:v>0.49699036122042101</c:v>
                </c:pt>
                <c:pt idx="51">
                  <c:v>0.50493683186767191</c:v>
                </c:pt>
                <c:pt idx="52">
                  <c:v>0.51290597691760664</c:v>
                </c:pt>
                <c:pt idx="53">
                  <c:v>0.52089789820046806</c:v>
                </c:pt>
                <c:pt idx="54">
                  <c:v>0.5289126981331338</c:v>
                </c:pt>
                <c:pt idx="55">
                  <c:v>0.53695047972348975</c:v>
                </c:pt>
                <c:pt idx="56">
                  <c:v>0.54501134657484307</c:v>
                </c:pt>
                <c:pt idx="57">
                  <c:v>0.55309540289037151</c:v>
                </c:pt>
                <c:pt idx="58">
                  <c:v>0.5612027534776145</c:v>
                </c:pt>
                <c:pt idx="59">
                  <c:v>0.56933350375299996</c:v>
                </c:pt>
                <c:pt idx="60">
                  <c:v>0.5774877597464152</c:v>
                </c:pt>
                <c:pt idx="61">
                  <c:v>0.58566562810581357</c:v>
                </c:pt>
                <c:pt idx="62">
                  <c:v>0.59386721610186499</c:v>
                </c:pt>
                <c:pt idx="63">
                  <c:v>0.60209263163264637</c:v>
                </c:pt>
                <c:pt idx="64">
                  <c:v>0.61034198322837263</c:v>
                </c:pt>
                <c:pt idx="65">
                  <c:v>0.618615380056171</c:v>
                </c:pt>
                <c:pt idx="66">
                  <c:v>0.62691293192489617</c:v>
                </c:pt>
                <c:pt idx="67">
                  <c:v>0.63523474928999057</c:v>
                </c:pt>
                <c:pt idx="68">
                  <c:v>0.64358094325838444</c:v>
                </c:pt>
                <c:pt idx="69">
                  <c:v>0.65195162559344211</c:v>
                </c:pt>
                <c:pt idx="70">
                  <c:v>0.6603469087199535</c:v>
                </c:pt>
                <c:pt idx="71">
                  <c:v>0.66876690572916531</c:v>
                </c:pt>
                <c:pt idx="72">
                  <c:v>0.67721173038386229</c:v>
                </c:pt>
                <c:pt idx="73">
                  <c:v>0.68568149712349336</c:v>
                </c:pt>
                <c:pt idx="74">
                  <c:v>0.69417632106933957</c:v>
                </c:pt>
                <c:pt idx="75">
                  <c:v>0.70269631802973431</c:v>
                </c:pt>
                <c:pt idx="76">
                  <c:v>0.71124160450532659</c:v>
                </c:pt>
                <c:pt idx="77">
                  <c:v>0.71981229769439403</c:v>
                </c:pt>
                <c:pt idx="78">
                  <c:v>0.72840851549820207</c:v>
                </c:pt>
                <c:pt idx="79">
                  <c:v>0.73703037652641334</c:v>
                </c:pt>
                <c:pt idx="80">
                  <c:v>0.74567800010254515</c:v>
                </c:pt>
                <c:pt idx="81">
                  <c:v>0.75435150626947689</c:v>
                </c:pt>
                <c:pt idx="82">
                  <c:v>0.76305101579500856</c:v>
                </c:pt>
                <c:pt idx="83">
                  <c:v>0.77177665017746755</c:v>
                </c:pt>
                <c:pt idx="84">
                  <c:v>0.7805285316513686</c:v>
                </c:pt>
                <c:pt idx="85">
                  <c:v>0.78930678319312542</c:v>
                </c:pt>
                <c:pt idx="86">
                  <c:v>0.79811152852681388</c:v>
                </c:pt>
                <c:pt idx="87">
                  <c:v>0.80694289212998949</c:v>
                </c:pt>
                <c:pt idx="88">
                  <c:v>0.81580099923955562</c:v>
                </c:pt>
                <c:pt idx="89">
                  <c:v>0.82468597585768899</c:v>
                </c:pt>
                <c:pt idx="90">
                  <c:v>0.83359794875781823</c:v>
                </c:pt>
                <c:pt idx="91">
                  <c:v>0.84253704549065733</c:v>
                </c:pt>
                <c:pt idx="92">
                  <c:v>0.85150339439029632</c:v>
                </c:pt>
                <c:pt idx="93">
                  <c:v>0.86049712458034577</c:v>
                </c:pt>
                <c:pt idx="94">
                  <c:v>0.8695183659801432</c:v>
                </c:pt>
                <c:pt idx="95">
                  <c:v>0.87856724931101171</c:v>
                </c:pt>
                <c:pt idx="96">
                  <c:v>0.88764390610258004</c:v>
                </c:pt>
                <c:pt idx="97">
                  <c:v>0.89674846869916158</c:v>
                </c:pt>
                <c:pt idx="98">
                  <c:v>0.90588107026619269</c:v>
                </c:pt>
                <c:pt idx="99">
                  <c:v>0.9150418447967299</c:v>
                </c:pt>
                <c:pt idx="100">
                  <c:v>0.92423092711801003</c:v>
                </c:pt>
                <c:pt idx="101">
                  <c:v>0.9334484528980721</c:v>
                </c:pt>
                <c:pt idx="102">
                  <c:v>0.94269455865243923</c:v>
                </c:pt>
                <c:pt idx="103">
                  <c:v>0.95196938175086554</c:v>
                </c:pt>
                <c:pt idx="104">
                  <c:v>0.96127306042414717</c:v>
                </c:pt>
                <c:pt idx="105">
                  <c:v>0.97060573377099468</c:v>
                </c:pt>
                <c:pt idx="106">
                  <c:v>0.97996754176497569</c:v>
                </c:pt>
                <c:pt idx="107">
                  <c:v>0.98935862526151763</c:v>
                </c:pt>
                <c:pt idx="108">
                  <c:v>0.99877912600498231</c:v>
                </c:pt>
                <c:pt idx="109">
                  <c:v>1.0082291866358033</c:v>
                </c:pt>
                <c:pt idx="110">
                  <c:v>1.0177089506976951</c:v>
                </c:pt>
                <c:pt idx="111">
                  <c:v>1.0272185626449297</c:v>
                </c:pt>
                <c:pt idx="112">
                  <c:v>1.0367581678496818</c:v>
                </c:pt>
                <c:pt idx="113">
                  <c:v>1.0463279126094456</c:v>
                </c:pt>
                <c:pt idx="114">
                  <c:v>1.0559279441545251</c:v>
                </c:pt>
                <c:pt idx="115">
                  <c:v>1.0655584106555895</c:v>
                </c:pt>
                <c:pt idx="116">
                  <c:v>1.0752194612313104</c:v>
                </c:pt>
                <c:pt idx="117">
                  <c:v>1.0849112459560668</c:v>
                </c:pt>
                <c:pt idx="118">
                  <c:v>1.0946339158677236</c:v>
                </c:pt>
                <c:pt idx="119">
                  <c:v>1.1043876229754932</c:v>
                </c:pt>
                <c:pt idx="120">
                  <c:v>1.1141725202678638</c:v>
                </c:pt>
                <c:pt idx="121">
                  <c:v>1.1239887617206101</c:v>
                </c:pt>
                <c:pt idx="122">
                  <c:v>1.1338365023048824</c:v>
                </c:pt>
                <c:pt idx="123">
                  <c:v>1.1437158979953725</c:v>
                </c:pt>
                <c:pt idx="124">
                  <c:v>1.1536271057785594</c:v>
                </c:pt>
                <c:pt idx="125">
                  <c:v>1.1635702836610371</c:v>
                </c:pt>
                <c:pt idx="126">
                  <c:v>1.1735455906779237</c:v>
                </c:pt>
                <c:pt idx="127">
                  <c:v>1.1835531869013525</c:v>
                </c:pt>
                <c:pt idx="128">
                  <c:v>1.1935932334490453</c:v>
                </c:pt>
                <c:pt idx="129">
                  <c:v>1.2036658924929748</c:v>
                </c:pt>
                <c:pt idx="130">
                  <c:v>1.2137713272681054</c:v>
                </c:pt>
                <c:pt idx="131">
                  <c:v>1.22390970208123</c:v>
                </c:pt>
                <c:pt idx="132">
                  <c:v>1.234081182319883</c:v>
                </c:pt>
                <c:pt idx="133">
                  <c:v>1.2442859344613497</c:v>
                </c:pt>
                <c:pt idx="134">
                  <c:v>1.2545241260817654</c:v>
                </c:pt>
                <c:pt idx="135">
                  <c:v>1.264795925865299</c:v>
                </c:pt>
                <c:pt idx="136">
                  <c:v>1.2751015036134346</c:v>
                </c:pt>
                <c:pt idx="137">
                  <c:v>1.2854410302543406</c:v>
                </c:pt>
                <c:pt idx="138">
                  <c:v>1.2958146778523383</c:v>
                </c:pt>
                <c:pt idx="139">
                  <c:v>1.3062226196174598</c:v>
                </c:pt>
                <c:pt idx="140">
                  <c:v>1.3166650299151041</c:v>
                </c:pt>
                <c:pt idx="141">
                  <c:v>1.3271420842757928</c:v>
                </c:pt>
                <c:pt idx="142">
                  <c:v>1.3376539594050187</c:v>
                </c:pt>
                <c:pt idx="143">
                  <c:v>1.3482008331931998</c:v>
                </c:pt>
                <c:pt idx="144">
                  <c:v>1.3587828847257293</c:v>
                </c:pt>
                <c:pt idx="145">
                  <c:v>1.3694002942931294</c:v>
                </c:pt>
                <c:pt idx="146">
                  <c:v>1.3800532434013084</c:v>
                </c:pt>
                <c:pt idx="147">
                  <c:v>1.3907419147819218</c:v>
                </c:pt>
                <c:pt idx="148">
                  <c:v>1.4014664924028368</c:v>
                </c:pt>
                <c:pt idx="149">
                  <c:v>1.4122271614787079</c:v>
                </c:pt>
                <c:pt idx="150">
                  <c:v>1.4230241084816559</c:v>
                </c:pt>
                <c:pt idx="151">
                  <c:v>1.4338575211520601</c:v>
                </c:pt>
                <c:pt idx="152">
                  <c:v>1.4447275885094581</c:v>
                </c:pt>
                <c:pt idx="153">
                  <c:v>1.4556345008635596</c:v>
                </c:pt>
                <c:pt idx="154">
                  <c:v>1.4665784498253722</c:v>
                </c:pt>
                <c:pt idx="155">
                  <c:v>1.4775596283184422</c:v>
                </c:pt>
                <c:pt idx="156">
                  <c:v>1.4885782305902129</c:v>
                </c:pt>
                <c:pt idx="157">
                  <c:v>1.4996344522234994</c:v>
                </c:pt>
                <c:pt idx="158">
                  <c:v>1.5107284901480804</c:v>
                </c:pt>
                <c:pt idx="159">
                  <c:v>1.5218605426524128</c:v>
                </c:pt>
                <c:pt idx="160">
                  <c:v>1.5330308093954688</c:v>
                </c:pt>
                <c:pt idx="161">
                  <c:v>1.5442394914186923</c:v>
                </c:pt>
                <c:pt idx="162">
                  <c:v>1.5554867911580861</c:v>
                </c:pt>
                <c:pt idx="163">
                  <c:v>1.5667729124564171</c:v>
                </c:pt>
                <c:pt idx="164">
                  <c:v>1.5780980605755615</c:v>
                </c:pt>
                <c:pt idx="165">
                  <c:v>1.5894624422089643</c:v>
                </c:pt>
                <c:pt idx="166">
                  <c:v>1.6008662654942429</c:v>
                </c:pt>
                <c:pt idx="167">
                  <c:v>1.6123097400259181</c:v>
                </c:pt>
                <c:pt idx="168">
                  <c:v>1.6237930768682771</c:v>
                </c:pt>
                <c:pt idx="169">
                  <c:v>1.6353164885683769</c:v>
                </c:pt>
                <c:pt idx="170">
                  <c:v>1.6468801891691833</c:v>
                </c:pt>
                <c:pt idx="171">
                  <c:v>1.6584843942228473</c:v>
                </c:pt>
                <c:pt idx="172">
                  <c:v>1.6701293208041277</c:v>
                </c:pt>
                <c:pt idx="173">
                  <c:v>1.6818151875239509</c:v>
                </c:pt>
                <c:pt idx="174">
                  <c:v>1.6935422145431189</c:v>
                </c:pt>
                <c:pt idx="175">
                  <c:v>1.7053106235861637</c:v>
                </c:pt>
                <c:pt idx="176">
                  <c:v>1.7171206379553468</c:v>
                </c:pt>
                <c:pt idx="177">
                  <c:v>1.7289724825448112</c:v>
                </c:pt>
                <c:pt idx="178">
                  <c:v>1.7408663838548886</c:v>
                </c:pt>
                <c:pt idx="179">
                  <c:v>1.7528025700065508</c:v>
                </c:pt>
                <c:pt idx="180">
                  <c:v>1.7647812707560298</c:v>
                </c:pt>
                <c:pt idx="181">
                  <c:v>1.7768027175095855</c:v>
                </c:pt>
                <c:pt idx="182">
                  <c:v>1.7888671433384367</c:v>
                </c:pt>
                <c:pt idx="183">
                  <c:v>1.800974782993856</c:v>
                </c:pt>
                <c:pt idx="184">
                  <c:v>1.8131258729224247</c:v>
                </c:pt>
                <c:pt idx="185">
                  <c:v>1.825320651281457</c:v>
                </c:pt>
                <c:pt idx="186">
                  <c:v>1.8375593579545917</c:v>
                </c:pt>
                <c:pt idx="187">
                  <c:v>1.84984223456755</c:v>
                </c:pt>
                <c:pt idx="188">
                  <c:v>1.8621695245040728</c:v>
                </c:pt>
                <c:pt idx="189">
                  <c:v>1.8745414729220298</c:v>
                </c:pt>
                <c:pt idx="190">
                  <c:v>1.8869583267696994</c:v>
                </c:pt>
                <c:pt idx="191">
                  <c:v>1.8994203348022374</c:v>
                </c:pt>
                <c:pt idx="192">
                  <c:v>1.9119277475983216</c:v>
                </c:pt>
                <c:pt idx="193">
                  <c:v>1.9244808175769812</c:v>
                </c:pt>
                <c:pt idx="194">
                  <c:v>1.9370797990146111</c:v>
                </c:pt>
                <c:pt idx="195">
                  <c:v>1.9497249480621812</c:v>
                </c:pt>
                <c:pt idx="196">
                  <c:v>1.962416522762624</c:v>
                </c:pt>
                <c:pt idx="197">
                  <c:v>1.9751547830684302</c:v>
                </c:pt>
                <c:pt idx="198">
                  <c:v>1.9879399908594304</c:v>
                </c:pt>
                <c:pt idx="199">
                  <c:v>2.0007724099607782</c:v>
                </c:pt>
                <c:pt idx="200">
                  <c:v>2.0136523061611369</c:v>
                </c:pt>
              </c:numCache>
            </c:numRef>
          </c:yVal>
          <c:smooth val="0"/>
          <c:extLst>
            <c:ext xmlns:c16="http://schemas.microsoft.com/office/drawing/2014/chart" uri="{C3380CC4-5D6E-409C-BE32-E72D297353CC}">
              <c16:uniqueId val="{00000000-7C70-4B44-AE5B-24834AA85C2A}"/>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Calculations'!$AG$9:$AG$209</c:f>
              <c:numCache>
                <c:formatCode>0.0000</c:formatCode>
                <c:ptCount val="201"/>
                <c:pt idx="0">
                  <c:v>5.2915572843179208E-2</c:v>
                </c:pt>
                <c:pt idx="1">
                  <c:v>5.4129063833048607E-2</c:v>
                </c:pt>
                <c:pt idx="2">
                  <c:v>5.536107703957114E-2</c:v>
                </c:pt>
                <c:pt idx="3">
                  <c:v>5.6611623212226958E-2</c:v>
                </c:pt>
                <c:pt idx="4">
                  <c:v>5.7880713505028346E-2</c:v>
                </c:pt>
                <c:pt idx="5">
                  <c:v>5.9168359476833382E-2</c:v>
                </c:pt>
                <c:pt idx="6">
                  <c:v>6.0474573091681617E-2</c:v>
                </c:pt>
                <c:pt idx="7">
                  <c:v>6.1799366719151802E-2</c:v>
                </c:pt>
                <c:pt idx="8">
                  <c:v>6.3142753134741839E-2</c:v>
                </c:pt>
                <c:pt idx="9">
                  <c:v>6.4504745520271078E-2</c:v>
                </c:pt>
                <c:pt idx="10">
                  <c:v>6.5885357464304531E-2</c:v>
                </c:pt>
                <c:pt idx="11">
                  <c:v>6.7284602962599513E-2</c:v>
                </c:pt>
                <c:pt idx="12">
                  <c:v>6.8702496418574566E-2</c:v>
                </c:pt>
                <c:pt idx="13">
                  <c:v>7.0139052643800534E-2</c:v>
                </c:pt>
                <c:pt idx="14">
                  <c:v>7.1594286858514183E-2</c:v>
                </c:pt>
                <c:pt idx="15">
                  <c:v>7.3068214692153952E-2</c:v>
                </c:pt>
                <c:pt idx="16">
                  <c:v>7.4560852183918308E-2</c:v>
                </c:pt>
                <c:pt idx="17">
                  <c:v>7.6072215783346525E-2</c:v>
                </c:pt>
                <c:pt idx="18">
                  <c:v>7.7602322350921876E-2</c:v>
                </c:pt>
                <c:pt idx="19">
                  <c:v>7.9151189158697427E-2</c:v>
                </c:pt>
                <c:pt idx="20">
                  <c:v>8.0718833890944447E-2</c:v>
                </c:pt>
                <c:pt idx="21">
                  <c:v>8.2305274644823428E-2</c:v>
                </c:pt>
                <c:pt idx="22">
                  <c:v>8.391052993107774E-2</c:v>
                </c:pt>
                <c:pt idx="23">
                  <c:v>8.5534618674750276E-2</c:v>
                </c:pt>
                <c:pt idx="24">
                  <c:v>8.7177560215922628E-2</c:v>
                </c:pt>
                <c:pt idx="25">
                  <c:v>8.8839374310477198E-2</c:v>
                </c:pt>
                <c:pt idx="26">
                  <c:v>9.0520081130882515E-2</c:v>
                </c:pt>
                <c:pt idx="27">
                  <c:v>9.221970126700102E-2</c:v>
                </c:pt>
                <c:pt idx="28">
                  <c:v>9.3938255726920619E-2</c:v>
                </c:pt>
                <c:pt idx="29">
                  <c:v>9.5675765937808688E-2</c:v>
                </c:pt>
                <c:pt idx="30">
                  <c:v>9.7432253746789668E-2</c:v>
                </c:pt>
                <c:pt idx="31">
                  <c:v>9.9207741421846005E-2</c:v>
                </c:pt>
                <c:pt idx="32">
                  <c:v>0.1010022516527421</c:v>
                </c:pt>
                <c:pt idx="33">
                  <c:v>0.10281580755197213</c:v>
                </c:pt>
                <c:pt idx="34">
                  <c:v>0.104648432655731</c:v>
                </c:pt>
                <c:pt idx="35">
                  <c:v>0.10650015092490925</c:v>
                </c:pt>
                <c:pt idx="36">
                  <c:v>0.10837098674611137</c:v>
                </c:pt>
                <c:pt idx="37">
                  <c:v>0.11026096493269803</c:v>
                </c:pt>
                <c:pt idx="38">
                  <c:v>0.11217011072585223</c:v>
                </c:pt>
                <c:pt idx="39">
                  <c:v>0.11409844979566938</c:v>
                </c:pt>
                <c:pt idx="40">
                  <c:v>0.11604600824227125</c:v>
                </c:pt>
                <c:pt idx="41">
                  <c:v>0.11911723690534483</c:v>
                </c:pt>
                <c:pt idx="42">
                  <c:v>0.12230576446339857</c:v>
                </c:pt>
                <c:pt idx="43">
                  <c:v>0.1255139708441175</c:v>
                </c:pt>
                <c:pt idx="44">
                  <c:v>0.12874189722707571</c:v>
                </c:pt>
                <c:pt idx="45">
                  <c:v>0.13198958524184926</c:v>
                </c:pt>
                <c:pt idx="46">
                  <c:v>0.13525707696977385</c:v>
                </c:pt>
                <c:pt idx="47">
                  <c:v>0.13854441494572764</c:v>
                </c:pt>
                <c:pt idx="48">
                  <c:v>0.141851642159941</c:v>
                </c:pt>
                <c:pt idx="49">
                  <c:v>0.14517880205983169</c:v>
                </c:pt>
                <c:pt idx="50">
                  <c:v>0.14852593855186697</c:v>
                </c:pt>
                <c:pt idx="51">
                  <c:v>0.15189309600345222</c:v>
                </c:pt>
                <c:pt idx="52">
                  <c:v>0.1552803192448462</c:v>
                </c:pt>
                <c:pt idx="53">
                  <c:v>0.15868765357110301</c:v>
                </c:pt>
                <c:pt idx="54">
                  <c:v>0.16211514474404168</c:v>
                </c:pt>
                <c:pt idx="55">
                  <c:v>0.16556283899424257</c:v>
                </c:pt>
                <c:pt idx="56">
                  <c:v>0.16903078302307131</c:v>
                </c:pt>
                <c:pt idx="57">
                  <c:v>0.1725190240047304</c:v>
                </c:pt>
                <c:pt idx="58">
                  <c:v>0.17602760958833888</c:v>
                </c:pt>
                <c:pt idx="59">
                  <c:v>0.17955658790003923</c:v>
                </c:pt>
                <c:pt idx="60">
                  <c:v>0.18310600754513359</c:v>
                </c:pt>
                <c:pt idx="61">
                  <c:v>0.18667591761024718</c:v>
                </c:pt>
                <c:pt idx="62">
                  <c:v>0.1902663676655213</c:v>
                </c:pt>
                <c:pt idx="63">
                  <c:v>0.19387740776683451</c:v>
                </c:pt>
                <c:pt idx="64">
                  <c:v>0.19750908845805301</c:v>
                </c:pt>
                <c:pt idx="65">
                  <c:v>0.20116146077331012</c:v>
                </c:pt>
                <c:pt idx="66">
                  <c:v>0.20483457623931556</c:v>
                </c:pt>
                <c:pt idx="67">
                  <c:v>0.20852848687769343</c:v>
                </c:pt>
                <c:pt idx="68">
                  <c:v>0.21224324520735141</c:v>
                </c:pt>
                <c:pt idx="69">
                  <c:v>0.21597890424687852</c:v>
                </c:pt>
                <c:pt idx="70">
                  <c:v>0.21973551751697465</c:v>
                </c:pt>
                <c:pt idx="71">
                  <c:v>0.22351313904290906</c:v>
                </c:pt>
                <c:pt idx="72">
                  <c:v>0.22731182335701114</c:v>
                </c:pt>
                <c:pt idx="73">
                  <c:v>0.23113162550119107</c:v>
                </c:pt>
                <c:pt idx="74">
                  <c:v>0.23497260102949213</c:v>
                </c:pt>
                <c:pt idx="75">
                  <c:v>0.23883480601067458</c:v>
                </c:pt>
                <c:pt idx="76">
                  <c:v>0.24271829703083087</c:v>
                </c:pt>
                <c:pt idx="77">
                  <c:v>0.24662313119603335</c:v>
                </c:pt>
                <c:pt idx="78">
                  <c:v>0.25054936613501344</c:v>
                </c:pt>
                <c:pt idx="79">
                  <c:v>0.25449706000187433</c:v>
                </c:pt>
                <c:pt idx="80">
                  <c:v>0.25846627147883522</c:v>
                </c:pt>
                <c:pt idx="81">
                  <c:v>0.26245705977900957</c:v>
                </c:pt>
                <c:pt idx="82">
                  <c:v>0.26646948464921572</c:v>
                </c:pt>
                <c:pt idx="83">
                  <c:v>0.27050360637282228</c:v>
                </c:pt>
                <c:pt idx="84">
                  <c:v>0.27455948577262596</c:v>
                </c:pt>
                <c:pt idx="85">
                  <c:v>0.27863718421376416</c:v>
                </c:pt>
                <c:pt idx="86">
                  <c:v>0.28273676360666183</c:v>
                </c:pt>
                <c:pt idx="87">
                  <c:v>0.28685828641001399</c:v>
                </c:pt>
                <c:pt idx="88">
                  <c:v>0.29100181563380095</c:v>
                </c:pt>
                <c:pt idx="89">
                  <c:v>0.29516741484234094</c:v>
                </c:pt>
                <c:pt idx="90">
                  <c:v>0.2993551481573774</c:v>
                </c:pt>
                <c:pt idx="91">
                  <c:v>0.30356508026120227</c:v>
                </c:pt>
                <c:pt idx="92">
                  <c:v>0.30779727639981536</c:v>
                </c:pt>
                <c:pt idx="93">
                  <c:v>0.31205180238612007</c:v>
                </c:pt>
                <c:pt idx="94">
                  <c:v>0.31632872460315659</c:v>
                </c:pt>
                <c:pt idx="95">
                  <c:v>0.32062811000737174</c:v>
                </c:pt>
                <c:pt idx="96">
                  <c:v>0.32495002613192558</c:v>
                </c:pt>
                <c:pt idx="97">
                  <c:v>0.32929454109003792</c:v>
                </c:pt>
                <c:pt idx="98">
                  <c:v>0.33366172357837043</c:v>
                </c:pt>
                <c:pt idx="99">
                  <c:v>0.33805164288044892</c:v>
                </c:pt>
                <c:pt idx="100">
                  <c:v>0.34246436887012383</c:v>
                </c:pt>
                <c:pt idx="101">
                  <c:v>0.34689997201507045</c:v>
                </c:pt>
                <c:pt idx="102">
                  <c:v>0.35135852338032741</c:v>
                </c:pt>
                <c:pt idx="103">
                  <c:v>0.35584009463187677</c:v>
                </c:pt>
                <c:pt idx="104">
                  <c:v>0.36034475804026284</c:v>
                </c:pt>
                <c:pt idx="105">
                  <c:v>0.36487258648425253</c:v>
                </c:pt>
                <c:pt idx="106">
                  <c:v>0.36942365345453682</c:v>
                </c:pt>
                <c:pt idx="107">
                  <c:v>0.37399803305747303</c:v>
                </c:pt>
                <c:pt idx="108">
                  <c:v>0.37859580001886867</c:v>
                </c:pt>
                <c:pt idx="109">
                  <c:v>0.38321702968780891</c:v>
                </c:pt>
                <c:pt idx="110">
                  <c:v>0.38786179804052501</c:v>
                </c:pt>
                <c:pt idx="111">
                  <c:v>0.39253018168430642</c:v>
                </c:pt>
                <c:pt idx="112">
                  <c:v>0.39722225786145654</c:v>
                </c:pt>
                <c:pt idx="113">
                  <c:v>0.40193810445329153</c:v>
                </c:pt>
                <c:pt idx="114">
                  <c:v>0.40667779998418446</c:v>
                </c:pt>
                <c:pt idx="115">
                  <c:v>0.41144142362565306</c:v>
                </c:pt>
                <c:pt idx="116">
                  <c:v>0.41622905520049247</c:v>
                </c:pt>
                <c:pt idx="117">
                  <c:v>0.42104077518695499</c:v>
                </c:pt>
                <c:pt idx="118">
                  <c:v>0.42587666472297436</c:v>
                </c:pt>
                <c:pt idx="119">
                  <c:v>0.43073680561043659</c:v>
                </c:pt>
                <c:pt idx="120">
                  <c:v>0.43562128031949898</c:v>
                </c:pt>
                <c:pt idx="121">
                  <c:v>0.44053017199295402</c:v>
                </c:pt>
                <c:pt idx="122">
                  <c:v>0.44546356445064383</c:v>
                </c:pt>
                <c:pt idx="123">
                  <c:v>0.450421542193922</c:v>
                </c:pt>
                <c:pt idx="124">
                  <c:v>0.45540419041016195</c:v>
                </c:pt>
                <c:pt idx="125">
                  <c:v>0.46041159497731809</c:v>
                </c:pt>
                <c:pt idx="126">
                  <c:v>0.46544384246853554</c:v>
                </c:pt>
                <c:pt idx="127">
                  <c:v>0.47050102015680784</c:v>
                </c:pt>
                <c:pt idx="128">
                  <c:v>0.47558321601968861</c:v>
                </c:pt>
                <c:pt idx="129">
                  <c:v>0.48069051874405311</c:v>
                </c:pt>
                <c:pt idx="130">
                  <c:v>0.48582301773091141</c:v>
                </c:pt>
                <c:pt idx="131">
                  <c:v>0.49098080310027403</c:v>
                </c:pt>
                <c:pt idx="132">
                  <c:v>0.4961639656960713</c:v>
                </c:pt>
                <c:pt idx="133">
                  <c:v>0.50137259709112469</c:v>
                </c:pt>
                <c:pt idx="134">
                  <c:v>0.50660678959217287</c:v>
                </c:pt>
                <c:pt idx="135">
                  <c:v>0.51186663624495388</c:v>
                </c:pt>
                <c:pt idx="136">
                  <c:v>0.51715223083933881</c:v>
                </c:pt>
                <c:pt idx="137">
                  <c:v>0.52246366791452392</c:v>
                </c:pt>
                <c:pt idx="138">
                  <c:v>0.52780104276427986</c:v>
                </c:pt>
                <c:pt idx="139">
                  <c:v>0.53316445144225399</c:v>
                </c:pt>
                <c:pt idx="140">
                  <c:v>0.53855399076733401</c:v>
                </c:pt>
                <c:pt idx="141">
                  <c:v>0.54396975832906735</c:v>
                </c:pt>
                <c:pt idx="142">
                  <c:v>0.54941185249314051</c:v>
                </c:pt>
                <c:pt idx="143">
                  <c:v>0.55488037240691668</c:v>
                </c:pt>
                <c:pt idx="144">
                  <c:v>0.56037541800503488</c:v>
                </c:pt>
                <c:pt idx="145">
                  <c:v>0.56589709001506716</c:v>
                </c:pt>
                <c:pt idx="146">
                  <c:v>0.57144548996323996</c:v>
                </c:pt>
                <c:pt idx="147">
                  <c:v>0.57702072018021522</c:v>
                </c:pt>
                <c:pt idx="148">
                  <c:v>0.58262288380693528</c:v>
                </c:pt>
                <c:pt idx="149">
                  <c:v>0.58825208480053015</c:v>
                </c:pt>
                <c:pt idx="150">
                  <c:v>0.59390842794028997</c:v>
                </c:pt>
                <c:pt idx="151">
                  <c:v>0.5995920188337005</c:v>
                </c:pt>
                <c:pt idx="152">
                  <c:v>0.60530296392254546</c:v>
                </c:pt>
                <c:pt idx="153">
                  <c:v>0.61104137048907381</c:v>
                </c:pt>
                <c:pt idx="154">
                  <c:v>0.61680734666223447</c:v>
                </c:pt>
                <c:pt idx="155">
                  <c:v>0.62260100142397923</c:v>
                </c:pt>
                <c:pt idx="156">
                  <c:v>0.62842244461563213</c:v>
                </c:pt>
                <c:pt idx="157">
                  <c:v>0.63427178694432862</c:v>
                </c:pt>
                <c:pt idx="158">
                  <c:v>0.64014913998952694</c:v>
                </c:pt>
                <c:pt idx="159">
                  <c:v>0.64605461620958526</c:v>
                </c:pt>
                <c:pt idx="160">
                  <c:v>0.6519883289484153</c:v>
                </c:pt>
                <c:pt idx="161">
                  <c:v>0.65795039244220388</c:v>
                </c:pt>
                <c:pt idx="162">
                  <c:v>0.66394092182621134</c:v>
                </c:pt>
                <c:pt idx="163">
                  <c:v>0.66996003314163921</c:v>
                </c:pt>
                <c:pt idx="164">
                  <c:v>0.67600784334257857</c:v>
                </c:pt>
                <c:pt idx="165">
                  <c:v>0.68208447030302788</c:v>
                </c:pt>
                <c:pt idx="166">
                  <c:v>0.68819003282398972</c:v>
                </c:pt>
                <c:pt idx="167">
                  <c:v>0.6943246506406473</c:v>
                </c:pt>
                <c:pt idx="168">
                  <c:v>0.70048844442961467</c:v>
                </c:pt>
                <c:pt idx="169">
                  <c:v>0.70668153581626714</c:v>
                </c:pt>
                <c:pt idx="170">
                  <c:v>0.71290404738215618</c:v>
                </c:pt>
                <c:pt idx="171">
                  <c:v>0.71915610267249652</c:v>
                </c:pt>
                <c:pt idx="172">
                  <c:v>0.72543782620374342</c:v>
                </c:pt>
                <c:pt idx="173">
                  <c:v>0.73174934347124843</c:v>
                </c:pt>
                <c:pt idx="174">
                  <c:v>0.7380907809569982</c:v>
                </c:pt>
                <c:pt idx="175">
                  <c:v>0.7444622661374416</c:v>
                </c:pt>
                <c:pt idx="176">
                  <c:v>0.75086392749139885</c:v>
                </c:pt>
                <c:pt idx="177">
                  <c:v>0.75729589450805834</c:v>
                </c:pt>
                <c:pt idx="178">
                  <c:v>0.7637582976950622</c:v>
                </c:pt>
                <c:pt idx="179">
                  <c:v>0.77025126858668014</c:v>
                </c:pt>
                <c:pt idx="180">
                  <c:v>0.77677493975207224</c:v>
                </c:pt>
                <c:pt idx="181">
                  <c:v>0.7833294448036433</c:v>
                </c:pt>
                <c:pt idx="182">
                  <c:v>0.789914918405488</c:v>
                </c:pt>
                <c:pt idx="183">
                  <c:v>0.79653149628193176</c:v>
                </c:pt>
                <c:pt idx="184">
                  <c:v>0.80317931522616193</c:v>
                </c:pt>
                <c:pt idx="185">
                  <c:v>0.80985851310895673</c:v>
                </c:pt>
                <c:pt idx="186">
                  <c:v>0.81656922888750993</c:v>
                </c:pt>
                <c:pt idx="187">
                  <c:v>0.82331160261435377</c:v>
                </c:pt>
                <c:pt idx="188">
                  <c:v>0.83008577544637752</c:v>
                </c:pt>
                <c:pt idx="189">
                  <c:v>0.83689188965395067</c:v>
                </c:pt>
                <c:pt idx="190">
                  <c:v>0.84373008863014276</c:v>
                </c:pt>
                <c:pt idx="191">
                  <c:v>0.8506005169000479</c:v>
                </c:pt>
                <c:pt idx="192">
                  <c:v>0.85750332013021302</c:v>
                </c:pt>
                <c:pt idx="193">
                  <c:v>0.86443864513816904</c:v>
                </c:pt>
                <c:pt idx="194">
                  <c:v>0.87140663990206946</c:v>
                </c:pt>
                <c:pt idx="195">
                  <c:v>0.87840745357043715</c:v>
                </c:pt>
                <c:pt idx="196">
                  <c:v>0.88544123647201622</c:v>
                </c:pt>
                <c:pt idx="197">
                  <c:v>0.89250814012573987</c:v>
                </c:pt>
                <c:pt idx="198">
                  <c:v>0.8996083172508027</c:v>
                </c:pt>
                <c:pt idx="199">
                  <c:v>0.90674192177685098</c:v>
                </c:pt>
                <c:pt idx="200">
                  <c:v>0.91390910885428567</c:v>
                </c:pt>
              </c:numCache>
            </c:numRef>
          </c:yVal>
          <c:smooth val="0"/>
          <c:extLst>
            <c:ext xmlns:c16="http://schemas.microsoft.com/office/drawing/2014/chart" uri="{C3380CC4-5D6E-409C-BE32-E72D297353CC}">
              <c16:uniqueId val="{00000001-7C70-4B44-AE5B-24834AA85C2A}"/>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Calculations'!$Q$9:$Q$209</c:f>
              <c:numCache>
                <c:formatCode>0.0000</c:formatCode>
                <c:ptCount val="201"/>
                <c:pt idx="0">
                  <c:v>0.52670880103452655</c:v>
                </c:pt>
                <c:pt idx="1">
                  <c:v>0.52676210012878799</c:v>
                </c:pt>
                <c:pt idx="2">
                  <c:v>0.52691583016615073</c:v>
                </c:pt>
                <c:pt idx="3">
                  <c:v>0.52716999854174118</c:v>
                </c:pt>
                <c:pt idx="4">
                  <c:v>0.52752461748283186</c:v>
                </c:pt>
                <c:pt idx="5">
                  <c:v>0.52797970405031225</c:v>
                </c:pt>
                <c:pt idx="6">
                  <c:v>0.52853528014074069</c:v>
                </c:pt>
                <c:pt idx="7">
                  <c:v>0.52919137248897874</c:v>
                </c:pt>
                <c:pt idx="8">
                  <c:v>0.52994801267140834</c:v>
                </c:pt>
                <c:pt idx="9">
                  <c:v>0.53080523710973126</c:v>
                </c:pt>
                <c:pt idx="10">
                  <c:v>0.53176308707535436</c:v>
                </c:pt>
                <c:pt idx="11">
                  <c:v>0.53282160869435846</c:v>
                </c:pt>
                <c:pt idx="12">
                  <c:v>0.53398085295305486</c:v>
                </c:pt>
                <c:pt idx="13">
                  <c:v>0.53524087570412837</c:v>
                </c:pt>
                <c:pt idx="14">
                  <c:v>0.53660173767336983</c:v>
                </c:pt>
                <c:pt idx="15">
                  <c:v>0.53806350446699891</c:v>
                </c:pt>
                <c:pt idx="16">
                  <c:v>0.53962624657957936</c:v>
                </c:pt>
                <c:pt idx="17">
                  <c:v>0.54129003940252729</c:v>
                </c:pt>
                <c:pt idx="18">
                  <c:v>0.54305496323321623</c:v>
                </c:pt>
                <c:pt idx="19">
                  <c:v>0.5449211032846798</c:v>
                </c:pt>
                <c:pt idx="20">
                  <c:v>0.54688854969591383</c:v>
                </c:pt>
                <c:pt idx="21">
                  <c:v>0.54895739754278128</c:v>
                </c:pt>
                <c:pt idx="22">
                  <c:v>0.55112774684952248</c:v>
                </c:pt>
                <c:pt idx="23">
                  <c:v>0.55339970260087235</c:v>
                </c:pt>
                <c:pt idx="24">
                  <c:v>0.55577337475478727</c:v>
                </c:pt>
                <c:pt idx="25">
                  <c:v>0.55824887825578617</c:v>
                </c:pt>
                <c:pt idx="26">
                  <c:v>0.56082633304890717</c:v>
                </c:pt>
                <c:pt idx="27">
                  <c:v>0.56350586409428327</c:v>
                </c:pt>
                <c:pt idx="28">
                  <c:v>0.56628760138234124</c:v>
                </c:pt>
                <c:pt idx="29">
                  <c:v>0.56917167994962592</c:v>
                </c:pt>
                <c:pt idx="30">
                  <c:v>0.57215823989525472</c:v>
                </c:pt>
                <c:pt idx="31">
                  <c:v>0.57524742639800541</c:v>
                </c:pt>
                <c:pt idx="32">
                  <c:v>0.57843938973404141</c:v>
                </c:pt>
                <c:pt idx="33">
                  <c:v>0.5817342852952776</c:v>
                </c:pt>
                <c:pt idx="34">
                  <c:v>0.58513227360839337</c:v>
                </c:pt>
                <c:pt idx="35">
                  <c:v>0.58863352035449423</c:v>
                </c:pt>
                <c:pt idx="36">
                  <c:v>0.59223819638942832</c:v>
                </c:pt>
                <c:pt idx="37">
                  <c:v>0.59594647776476228</c:v>
                </c:pt>
                <c:pt idx="38">
                  <c:v>0.59975854574942145</c:v>
                </c:pt>
                <c:pt idx="39">
                  <c:v>0.60367458685199815</c:v>
                </c:pt>
                <c:pt idx="40">
                  <c:v>0.60769479284373484</c:v>
                </c:pt>
                <c:pt idx="41">
                  <c:v>0.61181936078218668</c:v>
                </c:pt>
                <c:pt idx="42">
                  <c:v>0.61604849303556897</c:v>
                </c:pt>
                <c:pt idx="43">
                  <c:v>0.62038239730779554</c:v>
                </c:pt>
                <c:pt idx="44">
                  <c:v>0.62482128666421255</c:v>
                </c:pt>
                <c:pt idx="45">
                  <c:v>0.62936537955803651</c:v>
                </c:pt>
                <c:pt idx="46">
                  <c:v>0.63401489985749959</c:v>
                </c:pt>
                <c:pt idx="47">
                  <c:v>0.63877007687371057</c:v>
                </c:pt>
                <c:pt idx="48">
                  <c:v>0.64363114538923694</c:v>
                </c:pt>
                <c:pt idx="49">
                  <c:v>0.64859834568741603</c:v>
                </c:pt>
                <c:pt idx="50">
                  <c:v>0.65367192358240001</c:v>
                </c:pt>
                <c:pt idx="51">
                  <c:v>0.65885213044994495</c:v>
                </c:pt>
                <c:pt idx="52">
                  <c:v>0.66413922325894814</c:v>
                </c:pt>
                <c:pt idx="53">
                  <c:v>0.6695334646037423</c:v>
                </c:pt>
                <c:pt idx="54">
                  <c:v>0.67503512273715582</c:v>
                </c:pt>
                <c:pt idx="55">
                  <c:v>0.68064447160434449</c:v>
                </c:pt>
                <c:pt idx="56">
                  <c:v>0.68636179087740412</c:v>
                </c:pt>
                <c:pt idx="57">
                  <c:v>0.69218736599077202</c:v>
                </c:pt>
                <c:pt idx="58">
                  <c:v>0.69812148817742659</c:v>
                </c:pt>
                <c:pt idx="59">
                  <c:v>0.70416445450589216</c:v>
                </c:pt>
                <c:pt idx="60">
                  <c:v>0.71031656791805942</c:v>
                </c:pt>
                <c:pt idx="61">
                  <c:v>0.71657813726782993</c:v>
                </c:pt>
                <c:pt idx="62">
                  <c:v>0.72294947736059401</c:v>
                </c:pt>
                <c:pt idx="63">
                  <c:v>0.72943090899355179</c:v>
                </c:pt>
                <c:pt idx="64">
                  <c:v>0.73602275899688774</c:v>
                </c:pt>
                <c:pt idx="65">
                  <c:v>0.74272536027580738</c:v>
                </c:pt>
                <c:pt idx="66">
                  <c:v>0.74953905185344771</c:v>
                </c:pt>
                <c:pt idx="67">
                  <c:v>0.75646417891467144</c:v>
                </c:pt>
                <c:pt idx="68">
                  <c:v>0.76350109285075596</c:v>
                </c:pt>
                <c:pt idx="69">
                  <c:v>0.77065015130498693</c:v>
                </c:pt>
                <c:pt idx="70">
                  <c:v>0.77791171821917082</c:v>
                </c:pt>
                <c:pt idx="71">
                  <c:v>0.78528616388107308</c:v>
                </c:pt>
                <c:pt idx="72">
                  <c:v>0.79277386497279934</c:v>
                </c:pt>
                <c:pt idx="73">
                  <c:v>0.80037520462012646</c:v>
                </c:pt>
                <c:pt idx="74">
                  <c:v>0.80809057244280058</c:v>
                </c:pt>
                <c:pt idx="75">
                  <c:v>0.81592036460580997</c:v>
                </c:pt>
                <c:pt idx="76">
                  <c:v>0.82386498387164986</c:v>
                </c:pt>
                <c:pt idx="77">
                  <c:v>0.83192483965359065</c:v>
                </c:pt>
                <c:pt idx="78">
                  <c:v>0.84010034806996159</c:v>
                </c:pt>
                <c:pt idx="79">
                  <c:v>0.84839193199946583</c:v>
                </c:pt>
                <c:pt idx="80">
                  <c:v>0.8568000211375415</c:v>
                </c:pt>
                <c:pt idx="81">
                  <c:v>0.86532505205378007</c:v>
                </c:pt>
                <c:pt idx="82">
                  <c:v>0.87396746825041838</c:v>
                </c:pt>
                <c:pt idx="83">
                  <c:v>0.88272772022192325</c:v>
                </c:pt>
                <c:pt idx="84">
                  <c:v>0.89160626551567623</c:v>
                </c:pt>
                <c:pt idx="85">
                  <c:v>0.90060356879377901</c:v>
                </c:pt>
                <c:pt idx="86">
                  <c:v>0.90972010189599772</c:v>
                </c:pt>
                <c:pt idx="87">
                  <c:v>0.91895634390385827</c:v>
                </c:pt>
                <c:pt idx="88">
                  <c:v>0.92831278120590999</c:v>
                </c:pt>
                <c:pt idx="89">
                  <c:v>0.93778990756417624</c:v>
                </c:pt>
                <c:pt idx="90">
                  <c:v>0.94738822418181101</c:v>
                </c:pt>
                <c:pt idx="91">
                  <c:v>0.95710823977197479</c:v>
                </c:pt>
                <c:pt idx="92">
                  <c:v>0.96695047062795236</c:v>
                </c:pt>
                <c:pt idx="93">
                  <c:v>0.97691544069452796</c:v>
                </c:pt>
                <c:pt idx="94">
                  <c:v>0.98700368164064045</c:v>
                </c:pt>
                <c:pt idx="95">
                  <c:v>0.99721573293333499</c:v>
                </c:pt>
                <c:pt idx="96">
                  <c:v>1.0075521419130302</c:v>
                </c:pt>
                <c:pt idx="97">
                  <c:v>1.018013463870127</c:v>
                </c:pt>
                <c:pt idx="98">
                  <c:v>1.0286002621229731</c:v>
                </c:pt>
                <c:pt idx="99">
                  <c:v>1.0393131080972076</c:v>
                </c:pt>
                <c:pt idx="100">
                  <c:v>1.050152581406508</c:v>
                </c:pt>
                <c:pt idx="101">
                  <c:v>1.0611192699347611</c:v>
                </c:pt>
                <c:pt idx="102">
                  <c:v>1.0722137699196792</c:v>
                </c:pt>
                <c:pt idx="103">
                  <c:v>1.0834366860378846</c:v>
                </c:pt>
                <c:pt idx="104">
                  <c:v>1.0947886314914919</c:v>
                </c:pt>
                <c:pt idx="105">
                  <c:v>1.1062702280962018</c:v>
                </c:pt>
                <c:pt idx="106">
                  <c:v>1.1178821063709412</c:v>
                </c:pt>
                <c:pt idx="107">
                  <c:v>1.129624905629067</c:v>
                </c:pt>
                <c:pt idx="108">
                  <c:v>1.1414992740711676</c:v>
                </c:pt>
                <c:pt idx="109">
                  <c:v>1.1535058688794768</c:v>
                </c:pt>
                <c:pt idx="110">
                  <c:v>1.1656453563139402</c:v>
                </c:pt>
                <c:pt idx="111">
                  <c:v>1.1779184118099515</c:v>
                </c:pt>
                <c:pt idx="112">
                  <c:v>1.1903257200777919</c:v>
                </c:pt>
                <c:pt idx="113">
                  <c:v>1.202867975203799</c:v>
                </c:pt>
                <c:pt idx="114">
                  <c:v>1.2155458807532962</c:v>
                </c:pt>
                <c:pt idx="115">
                  <c:v>1.2283601498753103</c:v>
                </c:pt>
                <c:pt idx="116">
                  <c:v>1.2413115054091095</c:v>
                </c:pt>
                <c:pt idx="117">
                  <c:v>1.2544006799925946</c:v>
                </c:pt>
                <c:pt idx="118">
                  <c:v>1.2676284161725713</c:v>
                </c:pt>
                <c:pt idx="119">
                  <c:v>1.280995466516939</c:v>
                </c:pt>
                <c:pt idx="120">
                  <c:v>1.294502593728829</c:v>
                </c:pt>
                <c:pt idx="121">
                  <c:v>1.3081505707627259</c:v>
                </c:pt>
                <c:pt idx="122">
                  <c:v>1.321940180942607</c:v>
                </c:pt>
                <c:pt idx="123">
                  <c:v>1.3358722180821379</c:v>
                </c:pt>
                <c:pt idx="124">
                  <c:v>1.3499474866069516</c:v>
                </c:pt>
                <c:pt idx="125">
                  <c:v>1.3641668016790629</c:v>
                </c:pt>
                <c:pt idx="126">
                  <c:v>1.3785309893234441</c:v>
                </c:pt>
                <c:pt idx="127">
                  <c:v>1.3930408865568027</c:v>
                </c:pt>
                <c:pt idx="128">
                  <c:v>1.4076973415186071</c:v>
                </c:pt>
                <c:pt idx="129">
                  <c:v>1.4225012136043944</c:v>
                </c:pt>
                <c:pt idx="130">
                  <c:v>1.4374533736014048</c:v>
                </c:pt>
                <c:pt idx="131">
                  <c:v>1.4525547038265838</c:v>
                </c:pt>
                <c:pt idx="132">
                  <c:v>1.4678060982669949</c:v>
                </c:pt>
                <c:pt idx="133">
                  <c:v>1.4832084627226905</c:v>
                </c:pt>
                <c:pt idx="134">
                  <c:v>1.498762714952083</c:v>
                </c:pt>
                <c:pt idx="135">
                  <c:v>1.5144697848198632</c:v>
                </c:pt>
                <c:pt idx="136">
                  <c:v>1.5303306144475128</c:v>
                </c:pt>
                <c:pt idx="137">
                  <c:v>1.5463461583664617</c:v>
                </c:pt>
                <c:pt idx="138">
                  <c:v>1.5625173836739374</c:v>
                </c:pt>
                <c:pt idx="139">
                  <c:v>1.578845270191559</c:v>
                </c:pt>
                <c:pt idx="140">
                  <c:v>1.5953308106267241</c:v>
                </c:pt>
                <c:pt idx="141">
                  <c:v>1.6119750107368451</c:v>
                </c:pt>
                <c:pt idx="142">
                  <c:v>1.6287788894964896</c:v>
                </c:pt>
                <c:pt idx="143">
                  <c:v>1.6457434792674774</c:v>
                </c:pt>
                <c:pt idx="144">
                  <c:v>1.6628698259719892</c:v>
                </c:pt>
                <c:pt idx="145">
                  <c:v>1.6801589892687536</c:v>
                </c:pt>
                <c:pt idx="146">
                  <c:v>1.69761204273236</c:v>
                </c:pt>
                <c:pt idx="147">
                  <c:v>1.7152300740357689</c:v>
                </c:pt>
                <c:pt idx="148">
                  <c:v>1.7330141851360732</c:v>
                </c:pt>
                <c:pt idx="149">
                  <c:v>1.7509654924635789</c:v>
                </c:pt>
                <c:pt idx="150">
                  <c:v>1.7690851271142694</c:v>
                </c:pt>
                <c:pt idx="151">
                  <c:v>1.7873742350457185</c:v>
                </c:pt>
                <c:pt idx="152">
                  <c:v>1.8058339772765204</c:v>
                </c:pt>
                <c:pt idx="153">
                  <c:v>1.82446553008931</c:v>
                </c:pt>
                <c:pt idx="154">
                  <c:v>1.8432700852374346</c:v>
                </c:pt>
                <c:pt idx="155">
                  <c:v>1.8622488501553682</c:v>
                </c:pt>
                <c:pt idx="156">
                  <c:v>1.8814030481729205</c:v>
                </c:pt>
                <c:pt idx="157">
                  <c:v>1.9007339187333339</c:v>
                </c:pt>
                <c:pt idx="158">
                  <c:v>1.9202427176153436</c:v>
                </c:pt>
                <c:pt idx="159">
                  <c:v>1.939930717159271</c:v>
                </c:pt>
                <c:pt idx="160">
                  <c:v>1.9597992064972483</c:v>
                </c:pt>
                <c:pt idx="161">
                  <c:v>1.9798494917876419</c:v>
                </c:pt>
                <c:pt idx="162">
                  <c:v>2.0000828964537751</c:v>
                </c:pt>
                <c:pt idx="163">
                  <c:v>2.0205007614270256</c:v>
                </c:pt>
                <c:pt idx="164">
                  <c:v>2.0411044453944003</c:v>
                </c:pt>
                <c:pt idx="165">
                  <c:v>2.0618953250506662</c:v>
                </c:pt>
                <c:pt idx="166">
                  <c:v>2.0828747953551421</c:v>
                </c:pt>
                <c:pt idx="167">
                  <c:v>2.1040442697932464</c:v>
                </c:pt>
                <c:pt idx="168">
                  <c:v>2.1254051806428942</c:v>
                </c:pt>
                <c:pt idx="169">
                  <c:v>2.1469589792458512</c:v>
                </c:pt>
                <c:pt idx="170">
                  <c:v>2.1687071362841528</c:v>
                </c:pt>
                <c:pt idx="171">
                  <c:v>2.1906511420616726</c:v>
                </c:pt>
                <c:pt idx="172">
                  <c:v>2.2127925067909873</c:v>
                </c:pt>
                <c:pt idx="173">
                  <c:v>2.2351327608856089</c:v>
                </c:pt>
                <c:pt idx="174">
                  <c:v>2.2576734552577324</c:v>
                </c:pt>
                <c:pt idx="175">
                  <c:v>2.2804161616215946</c:v>
                </c:pt>
                <c:pt idx="176">
                  <c:v>2.3033624728025761</c:v>
                </c:pt>
                <c:pt idx="177">
                  <c:v>2.3265140030521607</c:v>
                </c:pt>
                <c:pt idx="178">
                  <c:v>2.349872388368897</c:v>
                </c:pt>
                <c:pt idx="179">
                  <c:v>2.3734392868254588</c:v>
                </c:pt>
                <c:pt idx="180">
                  <c:v>2.3972163789019794</c:v>
                </c:pt>
                <c:pt idx="181">
                  <c:v>2.4212053678257606</c:v>
                </c:pt>
                <c:pt idx="182">
                  <c:v>2.4454079799175066</c:v>
                </c:pt>
                <c:pt idx="183">
                  <c:v>2.4698259649442527</c:v>
                </c:pt>
                <c:pt idx="184">
                  <c:v>2.4944610964790748</c:v>
                </c:pt>
                <c:pt idx="185">
                  <c:v>2.5193151722678069</c:v>
                </c:pt>
                <c:pt idx="186">
                  <c:v>2.5443900146028535</c:v>
                </c:pt>
                <c:pt idx="187">
                  <c:v>2.5696874707042996</c:v>
                </c:pt>
                <c:pt idx="188">
                  <c:v>2.5952094131084587</c:v>
                </c:pt>
                <c:pt idx="189">
                  <c:v>2.6209577400640418</c:v>
                </c:pt>
                <c:pt idx="190">
                  <c:v>2.6469343759360928</c:v>
                </c:pt>
                <c:pt idx="191">
                  <c:v>2.6731412716178937</c:v>
                </c:pt>
                <c:pt idx="192">
                  <c:v>2.6995804049510141</c:v>
                </c:pt>
                <c:pt idx="193">
                  <c:v>2.7262537811536687</c:v>
                </c:pt>
                <c:pt idx="194">
                  <c:v>2.753163433257598</c:v>
                </c:pt>
                <c:pt idx="195">
                  <c:v>2.7803114225536616</c:v>
                </c:pt>
                <c:pt idx="196">
                  <c:v>2.8076998390463181</c:v>
                </c:pt>
                <c:pt idx="197">
                  <c:v>2.8353308019172503</c:v>
                </c:pt>
                <c:pt idx="198">
                  <c:v>2.863206459998286</c:v>
                </c:pt>
                <c:pt idx="199">
                  <c:v>2.8913289922538694</c:v>
                </c:pt>
                <c:pt idx="200">
                  <c:v>2.919700608273307</c:v>
                </c:pt>
              </c:numCache>
            </c:numRef>
          </c:yVal>
          <c:smooth val="0"/>
          <c:extLst>
            <c:ext xmlns:c16="http://schemas.microsoft.com/office/drawing/2014/chart" uri="{C3380CC4-5D6E-409C-BE32-E72D297353CC}">
              <c16:uniqueId val="{00000002-7C70-4B44-AE5B-24834AA85C2A}"/>
            </c:ext>
          </c:extLst>
        </c:ser>
        <c:dLbls>
          <c:showLegendKey val="0"/>
          <c:showVal val="0"/>
          <c:showCatName val="0"/>
          <c:showSerName val="0"/>
          <c:showPercent val="0"/>
          <c:showBubbleSize val="0"/>
        </c:dLbls>
        <c:axId val="154071808"/>
        <c:axId val="154073728"/>
      </c:scatterChart>
      <c:valAx>
        <c:axId val="154071808"/>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zh-CN"/>
          </a:p>
        </c:txPr>
        <c:crossAx val="154073728"/>
        <c:crosses val="autoZero"/>
        <c:crossBetween val="midCat"/>
      </c:valAx>
      <c:valAx>
        <c:axId val="154073728"/>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zh-CN"/>
          </a:p>
        </c:txPr>
        <c:crossAx val="154071808"/>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0.1</c:v>
                </c:pt>
                <c:pt idx="2">
                  <c:v>0.2</c:v>
                </c:pt>
                <c:pt idx="3">
                  <c:v>0.3</c:v>
                </c:pt>
                <c:pt idx="4">
                  <c:v>0.4</c:v>
                </c:pt>
                <c:pt idx="5">
                  <c:v>0.5</c:v>
                </c:pt>
                <c:pt idx="6">
                  <c:v>0.6</c:v>
                </c:pt>
                <c:pt idx="7">
                  <c:v>0.70000000000000007</c:v>
                </c:pt>
                <c:pt idx="8">
                  <c:v>0.8</c:v>
                </c:pt>
                <c:pt idx="9">
                  <c:v>0.89999999999999991</c:v>
                </c:pt>
                <c:pt idx="10">
                  <c:v>1</c:v>
                </c:pt>
                <c:pt idx="11">
                  <c:v>1.1000000000000001</c:v>
                </c:pt>
                <c:pt idx="12">
                  <c:v>1.2</c:v>
                </c:pt>
                <c:pt idx="13">
                  <c:v>1.3</c:v>
                </c:pt>
                <c:pt idx="14">
                  <c:v>1.4000000000000001</c:v>
                </c:pt>
                <c:pt idx="15">
                  <c:v>1.5</c:v>
                </c:pt>
                <c:pt idx="16">
                  <c:v>1.6</c:v>
                </c:pt>
                <c:pt idx="17">
                  <c:v>1.7000000000000002</c:v>
                </c:pt>
                <c:pt idx="18">
                  <c:v>1.7999999999999998</c:v>
                </c:pt>
                <c:pt idx="19">
                  <c:v>1.9</c:v>
                </c:pt>
                <c:pt idx="20">
                  <c:v>2</c:v>
                </c:pt>
                <c:pt idx="21">
                  <c:v>2.1</c:v>
                </c:pt>
                <c:pt idx="22">
                  <c:v>2.2000000000000002</c:v>
                </c:pt>
                <c:pt idx="23">
                  <c:v>2.3000000000000003</c:v>
                </c:pt>
                <c:pt idx="24">
                  <c:v>2.4</c:v>
                </c:pt>
                <c:pt idx="25">
                  <c:v>2.5</c:v>
                </c:pt>
                <c:pt idx="26">
                  <c:v>2.6</c:v>
                </c:pt>
                <c:pt idx="27">
                  <c:v>2.7</c:v>
                </c:pt>
                <c:pt idx="28">
                  <c:v>2.8000000000000003</c:v>
                </c:pt>
                <c:pt idx="29">
                  <c:v>2.9</c:v>
                </c:pt>
                <c:pt idx="30">
                  <c:v>3</c:v>
                </c:pt>
                <c:pt idx="31">
                  <c:v>3.1</c:v>
                </c:pt>
                <c:pt idx="32">
                  <c:v>3.2</c:v>
                </c:pt>
                <c:pt idx="33">
                  <c:v>3.3000000000000003</c:v>
                </c:pt>
                <c:pt idx="34">
                  <c:v>3.4000000000000004</c:v>
                </c:pt>
                <c:pt idx="35">
                  <c:v>3.5</c:v>
                </c:pt>
                <c:pt idx="36">
                  <c:v>3.5999999999999996</c:v>
                </c:pt>
                <c:pt idx="37">
                  <c:v>3.7</c:v>
                </c:pt>
                <c:pt idx="38">
                  <c:v>3.8</c:v>
                </c:pt>
                <c:pt idx="39">
                  <c:v>3.9000000000000004</c:v>
                </c:pt>
                <c:pt idx="40">
                  <c:v>4</c:v>
                </c:pt>
                <c:pt idx="41">
                  <c:v>4.0999999999999996</c:v>
                </c:pt>
                <c:pt idx="42">
                  <c:v>4.2</c:v>
                </c:pt>
                <c:pt idx="43">
                  <c:v>4.3</c:v>
                </c:pt>
                <c:pt idx="44">
                  <c:v>4.4000000000000004</c:v>
                </c:pt>
                <c:pt idx="45">
                  <c:v>4.5</c:v>
                </c:pt>
                <c:pt idx="46">
                  <c:v>4.6000000000000005</c:v>
                </c:pt>
                <c:pt idx="47">
                  <c:v>4.6999999999999993</c:v>
                </c:pt>
                <c:pt idx="48">
                  <c:v>4.8</c:v>
                </c:pt>
                <c:pt idx="49">
                  <c:v>4.9000000000000004</c:v>
                </c:pt>
                <c:pt idx="50">
                  <c:v>5</c:v>
                </c:pt>
                <c:pt idx="51">
                  <c:v>5.0999999999999996</c:v>
                </c:pt>
                <c:pt idx="52">
                  <c:v>5.2</c:v>
                </c:pt>
                <c:pt idx="53">
                  <c:v>5.3000000000000007</c:v>
                </c:pt>
                <c:pt idx="54">
                  <c:v>5.4</c:v>
                </c:pt>
                <c:pt idx="55">
                  <c:v>5.5</c:v>
                </c:pt>
                <c:pt idx="56">
                  <c:v>5.6000000000000005</c:v>
                </c:pt>
                <c:pt idx="57">
                  <c:v>5.6999999999999993</c:v>
                </c:pt>
                <c:pt idx="58">
                  <c:v>5.8</c:v>
                </c:pt>
                <c:pt idx="59">
                  <c:v>5.8999999999999995</c:v>
                </c:pt>
                <c:pt idx="60">
                  <c:v>6</c:v>
                </c:pt>
                <c:pt idx="61">
                  <c:v>6.1</c:v>
                </c:pt>
                <c:pt idx="62">
                  <c:v>6.2</c:v>
                </c:pt>
                <c:pt idx="63">
                  <c:v>6.3</c:v>
                </c:pt>
                <c:pt idx="64">
                  <c:v>6.4</c:v>
                </c:pt>
                <c:pt idx="65">
                  <c:v>6.5</c:v>
                </c:pt>
                <c:pt idx="66">
                  <c:v>6.6000000000000005</c:v>
                </c:pt>
                <c:pt idx="67">
                  <c:v>6.7</c:v>
                </c:pt>
                <c:pt idx="68">
                  <c:v>6.8000000000000007</c:v>
                </c:pt>
                <c:pt idx="69">
                  <c:v>6.8999999999999995</c:v>
                </c:pt>
                <c:pt idx="70">
                  <c:v>7</c:v>
                </c:pt>
                <c:pt idx="71">
                  <c:v>7.1</c:v>
                </c:pt>
                <c:pt idx="72">
                  <c:v>7.1999999999999993</c:v>
                </c:pt>
                <c:pt idx="73">
                  <c:v>7.3</c:v>
                </c:pt>
                <c:pt idx="74">
                  <c:v>7.4</c:v>
                </c:pt>
                <c:pt idx="75">
                  <c:v>7.5</c:v>
                </c:pt>
                <c:pt idx="76">
                  <c:v>7.6</c:v>
                </c:pt>
                <c:pt idx="77">
                  <c:v>7.7</c:v>
                </c:pt>
                <c:pt idx="78">
                  <c:v>7.8000000000000007</c:v>
                </c:pt>
                <c:pt idx="79">
                  <c:v>7.9</c:v>
                </c:pt>
                <c:pt idx="80">
                  <c:v>8</c:v>
                </c:pt>
                <c:pt idx="81">
                  <c:v>8.1000000000000014</c:v>
                </c:pt>
                <c:pt idx="82">
                  <c:v>8.1999999999999993</c:v>
                </c:pt>
                <c:pt idx="83">
                  <c:v>8.2999999999999989</c:v>
                </c:pt>
                <c:pt idx="84">
                  <c:v>8.4</c:v>
                </c:pt>
                <c:pt idx="85">
                  <c:v>8.5</c:v>
                </c:pt>
                <c:pt idx="86">
                  <c:v>8.6</c:v>
                </c:pt>
                <c:pt idx="87">
                  <c:v>8.6999999999999993</c:v>
                </c:pt>
                <c:pt idx="88">
                  <c:v>8.8000000000000007</c:v>
                </c:pt>
                <c:pt idx="89">
                  <c:v>8.9</c:v>
                </c:pt>
                <c:pt idx="90">
                  <c:v>9</c:v>
                </c:pt>
                <c:pt idx="91">
                  <c:v>9.1</c:v>
                </c:pt>
                <c:pt idx="92">
                  <c:v>9.2000000000000011</c:v>
                </c:pt>
                <c:pt idx="93">
                  <c:v>9.3000000000000007</c:v>
                </c:pt>
                <c:pt idx="94">
                  <c:v>9.3999999999999986</c:v>
                </c:pt>
                <c:pt idx="95">
                  <c:v>9.5</c:v>
                </c:pt>
                <c:pt idx="96">
                  <c:v>9.6</c:v>
                </c:pt>
                <c:pt idx="97">
                  <c:v>9.6999999999999993</c:v>
                </c:pt>
                <c:pt idx="98">
                  <c:v>9.8000000000000007</c:v>
                </c:pt>
                <c:pt idx="99">
                  <c:v>9.9</c:v>
                </c:pt>
                <c:pt idx="100">
                  <c:v>10</c:v>
                </c:pt>
                <c:pt idx="101">
                  <c:v>10.1</c:v>
                </c:pt>
                <c:pt idx="102">
                  <c:v>10.199999999999999</c:v>
                </c:pt>
                <c:pt idx="103">
                  <c:v>10.3</c:v>
                </c:pt>
                <c:pt idx="104">
                  <c:v>10.4</c:v>
                </c:pt>
                <c:pt idx="105">
                  <c:v>10.5</c:v>
                </c:pt>
                <c:pt idx="106">
                  <c:v>10.600000000000001</c:v>
                </c:pt>
                <c:pt idx="107">
                  <c:v>10.700000000000001</c:v>
                </c:pt>
                <c:pt idx="108">
                  <c:v>10.8</c:v>
                </c:pt>
                <c:pt idx="109">
                  <c:v>10.9</c:v>
                </c:pt>
                <c:pt idx="110">
                  <c:v>11</c:v>
                </c:pt>
                <c:pt idx="111">
                  <c:v>11.100000000000001</c:v>
                </c:pt>
                <c:pt idx="112">
                  <c:v>11.200000000000001</c:v>
                </c:pt>
                <c:pt idx="113">
                  <c:v>11.299999999999999</c:v>
                </c:pt>
                <c:pt idx="114">
                  <c:v>11.399999999999999</c:v>
                </c:pt>
                <c:pt idx="115">
                  <c:v>11.5</c:v>
                </c:pt>
                <c:pt idx="116">
                  <c:v>11.6</c:v>
                </c:pt>
                <c:pt idx="117">
                  <c:v>11.7</c:v>
                </c:pt>
                <c:pt idx="118">
                  <c:v>11.799999999999999</c:v>
                </c:pt>
                <c:pt idx="119">
                  <c:v>11.899999999999999</c:v>
                </c:pt>
                <c:pt idx="120">
                  <c:v>12</c:v>
                </c:pt>
                <c:pt idx="121">
                  <c:v>12.1</c:v>
                </c:pt>
                <c:pt idx="122">
                  <c:v>12.2</c:v>
                </c:pt>
                <c:pt idx="123">
                  <c:v>12.3</c:v>
                </c:pt>
                <c:pt idx="124">
                  <c:v>12.4</c:v>
                </c:pt>
                <c:pt idx="125">
                  <c:v>12.5</c:v>
                </c:pt>
                <c:pt idx="126">
                  <c:v>12.6</c:v>
                </c:pt>
                <c:pt idx="127">
                  <c:v>12.7</c:v>
                </c:pt>
                <c:pt idx="128">
                  <c:v>12.8</c:v>
                </c:pt>
                <c:pt idx="129">
                  <c:v>12.9</c:v>
                </c:pt>
                <c:pt idx="130">
                  <c:v>13</c:v>
                </c:pt>
                <c:pt idx="131">
                  <c:v>13.100000000000001</c:v>
                </c:pt>
                <c:pt idx="132">
                  <c:v>13.200000000000001</c:v>
                </c:pt>
                <c:pt idx="133">
                  <c:v>13.3</c:v>
                </c:pt>
                <c:pt idx="134">
                  <c:v>13.4</c:v>
                </c:pt>
                <c:pt idx="135">
                  <c:v>13.5</c:v>
                </c:pt>
                <c:pt idx="136">
                  <c:v>13.600000000000001</c:v>
                </c:pt>
                <c:pt idx="137">
                  <c:v>13.700000000000001</c:v>
                </c:pt>
                <c:pt idx="138">
                  <c:v>13.799999999999999</c:v>
                </c:pt>
                <c:pt idx="139">
                  <c:v>13.899999999999999</c:v>
                </c:pt>
                <c:pt idx="140">
                  <c:v>14</c:v>
                </c:pt>
                <c:pt idx="141">
                  <c:v>14.1</c:v>
                </c:pt>
                <c:pt idx="142">
                  <c:v>14.2</c:v>
                </c:pt>
                <c:pt idx="143">
                  <c:v>14.299999999999999</c:v>
                </c:pt>
                <c:pt idx="144">
                  <c:v>14.399999999999999</c:v>
                </c:pt>
                <c:pt idx="145">
                  <c:v>14.5</c:v>
                </c:pt>
                <c:pt idx="146">
                  <c:v>14.6</c:v>
                </c:pt>
                <c:pt idx="147">
                  <c:v>14.7</c:v>
                </c:pt>
                <c:pt idx="148">
                  <c:v>14.8</c:v>
                </c:pt>
                <c:pt idx="149">
                  <c:v>14.9</c:v>
                </c:pt>
                <c:pt idx="150">
                  <c:v>15</c:v>
                </c:pt>
                <c:pt idx="151">
                  <c:v>15.1</c:v>
                </c:pt>
                <c:pt idx="152">
                  <c:v>15.2</c:v>
                </c:pt>
                <c:pt idx="153">
                  <c:v>15.3</c:v>
                </c:pt>
                <c:pt idx="154">
                  <c:v>15.4</c:v>
                </c:pt>
                <c:pt idx="155">
                  <c:v>15.5</c:v>
                </c:pt>
                <c:pt idx="156">
                  <c:v>15.600000000000001</c:v>
                </c:pt>
                <c:pt idx="157">
                  <c:v>15.700000000000001</c:v>
                </c:pt>
                <c:pt idx="158">
                  <c:v>15.8</c:v>
                </c:pt>
                <c:pt idx="159">
                  <c:v>15.9</c:v>
                </c:pt>
                <c:pt idx="160">
                  <c:v>16</c:v>
                </c:pt>
                <c:pt idx="161">
                  <c:v>16.100000000000001</c:v>
                </c:pt>
                <c:pt idx="162">
                  <c:v>16.200000000000003</c:v>
                </c:pt>
                <c:pt idx="163">
                  <c:v>16.299999999999997</c:v>
                </c:pt>
                <c:pt idx="164">
                  <c:v>16.399999999999999</c:v>
                </c:pt>
                <c:pt idx="165">
                  <c:v>16.5</c:v>
                </c:pt>
                <c:pt idx="166">
                  <c:v>16.599999999999998</c:v>
                </c:pt>
                <c:pt idx="167">
                  <c:v>16.7</c:v>
                </c:pt>
                <c:pt idx="168">
                  <c:v>16.8</c:v>
                </c:pt>
                <c:pt idx="169">
                  <c:v>16.899999999999999</c:v>
                </c:pt>
                <c:pt idx="170">
                  <c:v>17</c:v>
                </c:pt>
                <c:pt idx="171">
                  <c:v>17.100000000000001</c:v>
                </c:pt>
                <c:pt idx="172">
                  <c:v>17.2</c:v>
                </c:pt>
                <c:pt idx="173">
                  <c:v>17.3</c:v>
                </c:pt>
                <c:pt idx="174">
                  <c:v>17.399999999999999</c:v>
                </c:pt>
                <c:pt idx="175">
                  <c:v>17.5</c:v>
                </c:pt>
                <c:pt idx="176">
                  <c:v>17.600000000000001</c:v>
                </c:pt>
                <c:pt idx="177">
                  <c:v>17.7</c:v>
                </c:pt>
                <c:pt idx="178">
                  <c:v>17.8</c:v>
                </c:pt>
                <c:pt idx="179">
                  <c:v>17.899999999999999</c:v>
                </c:pt>
                <c:pt idx="180">
                  <c:v>18</c:v>
                </c:pt>
                <c:pt idx="181">
                  <c:v>18.100000000000001</c:v>
                </c:pt>
                <c:pt idx="182">
                  <c:v>18.2</c:v>
                </c:pt>
                <c:pt idx="183">
                  <c:v>18.3</c:v>
                </c:pt>
                <c:pt idx="184">
                  <c:v>18.400000000000002</c:v>
                </c:pt>
                <c:pt idx="185">
                  <c:v>18.5</c:v>
                </c:pt>
                <c:pt idx="186">
                  <c:v>18.600000000000001</c:v>
                </c:pt>
                <c:pt idx="187">
                  <c:v>18.700000000000003</c:v>
                </c:pt>
                <c:pt idx="188">
                  <c:v>18.799999999999997</c:v>
                </c:pt>
                <c:pt idx="189">
                  <c:v>18.899999999999999</c:v>
                </c:pt>
                <c:pt idx="190">
                  <c:v>19</c:v>
                </c:pt>
                <c:pt idx="191">
                  <c:v>19.099999999999998</c:v>
                </c:pt>
                <c:pt idx="192">
                  <c:v>19.2</c:v>
                </c:pt>
                <c:pt idx="193">
                  <c:v>19.3</c:v>
                </c:pt>
                <c:pt idx="194">
                  <c:v>19.399999999999999</c:v>
                </c:pt>
                <c:pt idx="195">
                  <c:v>19.5</c:v>
                </c:pt>
                <c:pt idx="196">
                  <c:v>19.600000000000001</c:v>
                </c:pt>
                <c:pt idx="197">
                  <c:v>19.7</c:v>
                </c:pt>
                <c:pt idx="198">
                  <c:v>19.8</c:v>
                </c:pt>
                <c:pt idx="199">
                  <c:v>19.899999999999999</c:v>
                </c:pt>
                <c:pt idx="200">
                  <c:v>20</c:v>
                </c:pt>
              </c:numCache>
            </c:numRef>
          </c:xVal>
          <c:yVal>
            <c:numRef>
              <c:f>'Power Calculations'!$AQ$9:$AQ$209</c:f>
              <c:numCache>
                <c:formatCode>0.00%</c:formatCode>
                <c:ptCount val="201"/>
                <c:pt idx="0">
                  <c:v>0</c:v>
                </c:pt>
                <c:pt idx="1">
                  <c:v>0.33413906689191308</c:v>
                </c:pt>
                <c:pt idx="2">
                  <c:v>0.50037677556913862</c:v>
                </c:pt>
                <c:pt idx="3">
                  <c:v>0.59983082059386261</c:v>
                </c:pt>
                <c:pt idx="4">
                  <c:v>0.66599706925544111</c:v>
                </c:pt>
                <c:pt idx="5">
                  <c:v>0.71317979988142222</c:v>
                </c:pt>
                <c:pt idx="6">
                  <c:v>0.74851445149634299</c:v>
                </c:pt>
                <c:pt idx="7">
                  <c:v>0.77595857612622376</c:v>
                </c:pt>
                <c:pt idx="8">
                  <c:v>0.79788374893522596</c:v>
                </c:pt>
                <c:pt idx="9">
                  <c:v>0.8157976901859908</c:v>
                </c:pt>
                <c:pt idx="10">
                  <c:v>0.83070476462869269</c:v>
                </c:pt>
                <c:pt idx="11">
                  <c:v>0.84329985769962357</c:v>
                </c:pt>
                <c:pt idx="12">
                  <c:v>0.85407905117026295</c:v>
                </c:pt>
                <c:pt idx="13">
                  <c:v>0.86340597346775649</c:v>
                </c:pt>
                <c:pt idx="14">
                  <c:v>0.87155323961126596</c:v>
                </c:pt>
                <c:pt idx="15">
                  <c:v>0.8787292492376727</c:v>
                </c:pt>
                <c:pt idx="16">
                  <c:v>0.88509604269428099</c:v>
                </c:pt>
                <c:pt idx="17">
                  <c:v>0.89078151282929274</c:v>
                </c:pt>
                <c:pt idx="18">
                  <c:v>0.89588794982830089</c:v>
                </c:pt>
                <c:pt idx="19">
                  <c:v>0.9004981425004589</c:v>
                </c:pt>
                <c:pt idx="20">
                  <c:v>0.90467981416676868</c:v>
                </c:pt>
                <c:pt idx="21">
                  <c:v>0.90848890042172514</c:v>
                </c:pt>
                <c:pt idx="22">
                  <c:v>0.91197200681774893</c:v>
                </c:pt>
                <c:pt idx="23">
                  <c:v>0.9151682762653186</c:v>
                </c:pt>
                <c:pt idx="24">
                  <c:v>0.91811082518549014</c:v>
                </c:pt>
                <c:pt idx="25">
                  <c:v>0.92082786029696262</c:v>
                </c:pt>
                <c:pt idx="26">
                  <c:v>0.92334355593222872</c:v>
                </c:pt>
                <c:pt idx="27">
                  <c:v>0.92567874972330189</c:v>
                </c:pt>
                <c:pt idx="28">
                  <c:v>0.92785149906379605</c:v>
                </c:pt>
                <c:pt idx="29">
                  <c:v>0.92987752980386551</c:v>
                </c:pt>
                <c:pt idx="30">
                  <c:v>0.93177060076580309</c:v>
                </c:pt>
                <c:pt idx="31">
                  <c:v>0.9335428019466111</c:v>
                </c:pt>
                <c:pt idx="32">
                  <c:v>0.93510793755772981</c:v>
                </c:pt>
                <c:pt idx="33">
                  <c:v>0.93648902103118814</c:v>
                </c:pt>
                <c:pt idx="34">
                  <c:v>0.9378176580853369</c:v>
                </c:pt>
                <c:pt idx="35">
                  <c:v>0.93909824661842067</c:v>
                </c:pt>
                <c:pt idx="36">
                  <c:v>0.94033471094141519</c:v>
                </c:pt>
                <c:pt idx="37">
                  <c:v>0.94153056393268353</c:v>
                </c:pt>
                <c:pt idx="38">
                  <c:v>0.94268895965468691</c:v>
                </c:pt>
                <c:pt idx="39">
                  <c:v>0.94381273809776201</c:v>
                </c:pt>
                <c:pt idx="40">
                  <c:v>0.9449044633918755</c:v>
                </c:pt>
                <c:pt idx="41">
                  <c:v>0.94583473885748448</c:v>
                </c:pt>
                <c:pt idx="42">
                  <c:v>0.94670762050932955</c:v>
                </c:pt>
                <c:pt idx="43">
                  <c:v>0.94753706458026665</c:v>
                </c:pt>
                <c:pt idx="44">
                  <c:v>0.94832590859445554</c:v>
                </c:pt>
                <c:pt idx="45">
                  <c:v>0.9490767476531643</c:v>
                </c:pt>
                <c:pt idx="46">
                  <c:v>0.9497919597710226</c:v>
                </c:pt>
                <c:pt idx="47">
                  <c:v>0.95047372809971731</c:v>
                </c:pt>
                <c:pt idx="48">
                  <c:v>0.9511240604762855</c:v>
                </c:pt>
                <c:pt idx="49">
                  <c:v>0.95174480666436889</c:v>
                </c:pt>
                <c:pt idx="50">
                  <c:v>0.95233767359995269</c:v>
                </c:pt>
                <c:pt idx="51">
                  <c:v>0.95290423890594078</c:v>
                </c:pt>
                <c:pt idx="52">
                  <c:v>0.95344596290064487</c:v>
                </c:pt>
                <c:pt idx="53">
                  <c:v>0.95396419929243059</c:v>
                </c:pt>
                <c:pt idx="54">
                  <c:v>0.95446020472521687</c:v>
                </c:pt>
                <c:pt idx="55">
                  <c:v>0.95493514731635354</c:v>
                </c:pt>
                <c:pt idx="56">
                  <c:v>0.9553901143088176</c:v>
                </c:pt>
                <c:pt idx="57">
                  <c:v>0.95582611894309755</c:v>
                </c:pt>
                <c:pt idx="58">
                  <c:v>0.95624410664004345</c:v>
                </c:pt>
                <c:pt idx="59">
                  <c:v>0.95664496057396053</c:v>
                </c:pt>
                <c:pt idx="60">
                  <c:v>0.95702950670496578</c:v>
                </c:pt>
                <c:pt idx="61">
                  <c:v>0.95739851833084622</c:v>
                </c:pt>
                <c:pt idx="62">
                  <c:v>0.95775272021109814</c:v>
                </c:pt>
                <c:pt idx="63">
                  <c:v>0.95809279230934086</c:v>
                </c:pt>
                <c:pt idx="64">
                  <c:v>0.95841937319467307</c:v>
                </c:pt>
                <c:pt idx="65">
                  <c:v>0.95873306313769202</c:v>
                </c:pt>
                <c:pt idx="66">
                  <c:v>0.95903442693268048</c:v>
                </c:pt>
                <c:pt idx="67">
                  <c:v>0.95932399647380773</c:v>
                </c:pt>
                <c:pt idx="68">
                  <c:v>0.95960227310999524</c:v>
                </c:pt>
                <c:pt idx="69">
                  <c:v>0.95986972980032326</c:v>
                </c:pt>
                <c:pt idx="70">
                  <c:v>0.96012681308940839</c:v>
                </c:pt>
                <c:pt idx="71">
                  <c:v>0.96037394492005634</c:v>
                </c:pt>
                <c:pt idx="72">
                  <c:v>0.96061152429861352</c:v>
                </c:pt>
                <c:pt idx="73">
                  <c:v>0.9608399288267967</c:v>
                </c:pt>
                <c:pt idx="74">
                  <c:v>0.96105951611232332</c:v>
                </c:pt>
                <c:pt idx="75">
                  <c:v>0.96127062506938421</c:v>
                </c:pt>
                <c:pt idx="76">
                  <c:v>0.9614735771188635</c:v>
                </c:pt>
                <c:pt idx="77">
                  <c:v>0.96166867729720917</c:v>
                </c:pt>
                <c:pt idx="78">
                  <c:v>0.9618562152819603</c:v>
                </c:pt>
                <c:pt idx="79">
                  <c:v>0.96203646634114959</c:v>
                </c:pt>
                <c:pt idx="80">
                  <c:v>0.96220969221309161</c:v>
                </c:pt>
                <c:pt idx="81">
                  <c:v>0.9623761419224397</c:v>
                </c:pt>
                <c:pt idx="82">
                  <c:v>0.96253605253782937</c:v>
                </c:pt>
                <c:pt idx="83">
                  <c:v>0.96268964987593397</c:v>
                </c:pt>
                <c:pt idx="84">
                  <c:v>0.96283714915629437</c:v>
                </c:pt>
                <c:pt idx="85">
                  <c:v>0.96297875561089818</c:v>
                </c:pt>
                <c:pt idx="86">
                  <c:v>0.96311466505210819</c:v>
                </c:pt>
                <c:pt idx="87">
                  <c:v>0.96324506440222657</c:v>
                </c:pt>
                <c:pt idx="88">
                  <c:v>0.9633701321876792</c:v>
                </c:pt>
                <c:pt idx="89">
                  <c:v>0.96349003900055175</c:v>
                </c:pt>
                <c:pt idx="90">
                  <c:v>0.96360494792996032</c:v>
                </c:pt>
                <c:pt idx="91">
                  <c:v>0.96371501496553469</c:v>
                </c:pt>
                <c:pt idx="92">
                  <c:v>0.96382038937509273</c:v>
                </c:pt>
                <c:pt idx="93">
                  <c:v>0.96392121405841114</c:v>
                </c:pt>
                <c:pt idx="94">
                  <c:v>0.96401762587883788</c:v>
                </c:pt>
                <c:pt idx="95">
                  <c:v>0.96410975597434889</c:v>
                </c:pt>
                <c:pt idx="96">
                  <c:v>0.9641977300495177</c:v>
                </c:pt>
                <c:pt idx="97">
                  <c:v>0.96428166864975151</c:v>
                </c:pt>
                <c:pt idx="98">
                  <c:v>0.96436168741903583</c:v>
                </c:pt>
                <c:pt idx="99">
                  <c:v>0.96443789734233265</c:v>
                </c:pt>
                <c:pt idx="100">
                  <c:v>0.9645104049736869</c:v>
                </c:pt>
                <c:pt idx="101">
                  <c:v>0.96457931265101293</c:v>
                </c:pt>
                <c:pt idx="102">
                  <c:v>0.9646447186984608</c:v>
                </c:pt>
                <c:pt idx="103">
                  <c:v>0.96470671761718929</c:v>
                </c:pt>
                <c:pt idx="104">
                  <c:v>0.9647654002653131</c:v>
                </c:pt>
                <c:pt idx="105">
                  <c:v>0.96482085402773388</c:v>
                </c:pt>
                <c:pt idx="106">
                  <c:v>0.96487316297651093</c:v>
                </c:pt>
                <c:pt idx="107">
                  <c:v>0.96492240802238027</c:v>
                </c:pt>
                <c:pt idx="108">
                  <c:v>0.96496866705798467</c:v>
                </c:pt>
                <c:pt idx="109">
                  <c:v>0.96501201509334078</c:v>
                </c:pt>
                <c:pt idx="110">
                  <c:v>0.96505252438402533</c:v>
                </c:pt>
                <c:pt idx="111">
                  <c:v>0.96509026455253588</c:v>
                </c:pt>
                <c:pt idx="112">
                  <c:v>0.96512530270324215</c:v>
                </c:pt>
                <c:pt idx="113">
                  <c:v>0.96515770353132002</c:v>
                </c:pt>
                <c:pt idx="114">
                  <c:v>0.96518752942603292</c:v>
                </c:pt>
                <c:pt idx="115">
                  <c:v>0.96521484056869566</c:v>
                </c:pt>
                <c:pt idx="116">
                  <c:v>0.96523969502564</c:v>
                </c:pt>
                <c:pt idx="117">
                  <c:v>0.96526214883647343</c:v>
                </c:pt>
                <c:pt idx="118">
                  <c:v>0.9652822560979083</c:v>
                </c:pt>
                <c:pt idx="119">
                  <c:v>0.96530006904341503</c:v>
                </c:pt>
                <c:pt idx="120">
                  <c:v>0.96531563811894194</c:v>
                </c:pt>
                <c:pt idx="121">
                  <c:v>0.96532901205492305</c:v>
                </c:pt>
                <c:pt idx="122">
                  <c:v>0.96534023793478452</c:v>
                </c:pt>
                <c:pt idx="123">
                  <c:v>0.96534936126014848</c:v>
                </c:pt>
                <c:pt idx="124">
                  <c:v>0.96535642601291138</c:v>
                </c:pt>
                <c:pt idx="125">
                  <c:v>0.96536147471437617</c:v>
                </c:pt>
                <c:pt idx="126">
                  <c:v>0.96536454848159481</c:v>
                </c:pt>
                <c:pt idx="127">
                  <c:v>0.96536568708107362</c:v>
                </c:pt>
                <c:pt idx="128">
                  <c:v>0.96536492897998549</c:v>
                </c:pt>
                <c:pt idx="129">
                  <c:v>0.96536231139501782</c:v>
                </c:pt>
                <c:pt idx="130">
                  <c:v>0.96535787033898579</c:v>
                </c:pt>
                <c:pt idx="131">
                  <c:v>0.96535164066532642</c:v>
                </c:pt>
                <c:pt idx="132">
                  <c:v>0.96534365611058326</c:v>
                </c:pt>
                <c:pt idx="133">
                  <c:v>0.96533394933498862</c:v>
                </c:pt>
                <c:pt idx="134">
                  <c:v>0.96532255196123717</c:v>
                </c:pt>
                <c:pt idx="135">
                  <c:v>0.96530949461154758</c:v>
                </c:pt>
                <c:pt idx="136">
                  <c:v>0.96529480694309477</c:v>
                </c:pt>
                <c:pt idx="137">
                  <c:v>0.96527851768189732</c:v>
                </c:pt>
                <c:pt idx="138">
                  <c:v>0.96526065465523703</c:v>
                </c:pt>
                <c:pt idx="139">
                  <c:v>0.96524124482268137</c:v>
                </c:pt>
                <c:pt idx="140">
                  <c:v>0.96522031430577915</c:v>
                </c:pt>
                <c:pt idx="141">
                  <c:v>0.96519788841649534</c:v>
                </c:pt>
                <c:pt idx="142">
                  <c:v>0.96517399168444151</c:v>
                </c:pt>
                <c:pt idx="143">
                  <c:v>0.96514864788296606</c:v>
                </c:pt>
                <c:pt idx="144">
                  <c:v>0.96512188005415323</c:v>
                </c:pt>
                <c:pt idx="145">
                  <c:v>0.96509371053278636</c:v>
                </c:pt>
                <c:pt idx="146">
                  <c:v>0.9650641609693219</c:v>
                </c:pt>
                <c:pt idx="147">
                  <c:v>0.9650332523519215</c:v>
                </c:pt>
                <c:pt idx="148">
                  <c:v>0.96500100502758546</c:v>
                </c:pt>
                <c:pt idx="149">
                  <c:v>0.96496743872242929</c:v>
                </c:pt>
                <c:pt idx="150">
                  <c:v>0.96493257256114229</c:v>
                </c:pt>
                <c:pt idx="151">
                  <c:v>0.96489642508566509</c:v>
                </c:pt>
                <c:pt idx="152">
                  <c:v>0.96485901427312237</c:v>
                </c:pt>
                <c:pt idx="153">
                  <c:v>0.9648203575530423</c:v>
                </c:pt>
                <c:pt idx="154">
                  <c:v>0.96478047182389659</c:v>
                </c:pt>
                <c:pt idx="155">
                  <c:v>0.96473937346898964</c:v>
                </c:pt>
                <c:pt idx="156">
                  <c:v>0.96469707837172514</c:v>
                </c:pt>
                <c:pt idx="157">
                  <c:v>0.96465360193027894</c:v>
                </c:pt>
                <c:pt idx="158">
                  <c:v>0.96460895907170197</c:v>
                </c:pt>
                <c:pt idx="159">
                  <c:v>0.9645631642654785</c:v>
                </c:pt>
                <c:pt idx="160">
                  <c:v>0.96451623153656296</c:v>
                </c:pt>
                <c:pt idx="161">
                  <c:v>0.96446817447791677</c:v>
                </c:pt>
                <c:pt idx="162">
                  <c:v>0.96441900626256805</c:v>
                </c:pt>
                <c:pt idx="163">
                  <c:v>0.96436873965521042</c:v>
                </c:pt>
                <c:pt idx="164">
                  <c:v>0.96431738702336467</c:v>
                </c:pt>
                <c:pt idx="165">
                  <c:v>0.96426496034811648</c:v>
                </c:pt>
                <c:pt idx="166">
                  <c:v>0.96421147123445194</c:v>
                </c:pt>
                <c:pt idx="167">
                  <c:v>0.96415693092120314</c:v>
                </c:pt>
                <c:pt idx="168">
                  <c:v>0.96410135029062283</c:v>
                </c:pt>
                <c:pt idx="169">
                  <c:v>0.96404473987760042</c:v>
                </c:pt>
                <c:pt idx="170">
                  <c:v>0.96398710987853442</c:v>
                </c:pt>
                <c:pt idx="171">
                  <c:v>0.96392847015987637</c:v>
                </c:pt>
                <c:pt idx="172">
                  <c:v>0.9638688302663555</c:v>
                </c:pt>
                <c:pt idx="173">
                  <c:v>0.96380819942889984</c:v>
                </c:pt>
                <c:pt idx="174">
                  <c:v>0.96374658657226386</c:v>
                </c:pt>
                <c:pt idx="175">
                  <c:v>0.963684000322374</c:v>
                </c:pt>
                <c:pt idx="176">
                  <c:v>0.96362044901340171</c:v>
                </c:pt>
                <c:pt idx="177">
                  <c:v>0.9635559406945774</c:v>
                </c:pt>
                <c:pt idx="178">
                  <c:v>0.96349048313675012</c:v>
                </c:pt>
                <c:pt idx="179">
                  <c:v>0.96342408383870703</c:v>
                </c:pt>
                <c:pt idx="180">
                  <c:v>0.96335675003325727</c:v>
                </c:pt>
                <c:pt idx="181">
                  <c:v>0.96328848869309225</c:v>
                </c:pt>
                <c:pt idx="182">
                  <c:v>0.96321930653642829</c:v>
                </c:pt>
                <c:pt idx="183">
                  <c:v>0.96314921003243892</c:v>
                </c:pt>
                <c:pt idx="184">
                  <c:v>0.9630782054064867</c:v>
                </c:pt>
                <c:pt idx="185">
                  <c:v>0.96300629864515797</c:v>
                </c:pt>
                <c:pt idx="186">
                  <c:v>0.96293349550111118</c:v>
                </c:pt>
                <c:pt idx="187">
                  <c:v>0.96285980149774097</c:v>
                </c:pt>
                <c:pt idx="188">
                  <c:v>0.96278522193366844</c:v>
                </c:pt>
                <c:pt idx="189">
                  <c:v>0.96270976188706003</c:v>
                </c:pt>
                <c:pt idx="190">
                  <c:v>0.9626334262197821</c:v>
                </c:pt>
                <c:pt idx="191">
                  <c:v>0.96255621958139626</c:v>
                </c:pt>
                <c:pt idx="192">
                  <c:v>0.96247814641300145</c:v>
                </c:pt>
                <c:pt idx="193">
                  <c:v>0.96239921095092529</c:v>
                </c:pt>
                <c:pt idx="194">
                  <c:v>0.96231941723027248</c:v>
                </c:pt>
                <c:pt idx="195">
                  <c:v>0.96223876908833195</c:v>
                </c:pt>
                <c:pt idx="196">
                  <c:v>0.96215727016784869</c:v>
                </c:pt>
                <c:pt idx="197">
                  <c:v>0.96207492392016303</c:v>
                </c:pt>
                <c:pt idx="198">
                  <c:v>0.96199173360822399</c:v>
                </c:pt>
                <c:pt idx="199">
                  <c:v>0.96190770230947564</c:v>
                </c:pt>
                <c:pt idx="200">
                  <c:v>0.96182283291862491</c:v>
                </c:pt>
              </c:numCache>
            </c:numRef>
          </c:yVal>
          <c:smooth val="0"/>
          <c:extLst>
            <c:ext xmlns:c16="http://schemas.microsoft.com/office/drawing/2014/chart" uri="{C3380CC4-5D6E-409C-BE32-E72D297353CC}">
              <c16:uniqueId val="{00000000-7982-453A-AADD-8C6D604EC8C3}"/>
            </c:ext>
          </c:extLst>
        </c:ser>
        <c:dLbls>
          <c:showLegendKey val="0"/>
          <c:showVal val="0"/>
          <c:showCatName val="0"/>
          <c:showSerName val="0"/>
          <c:showPercent val="0"/>
          <c:showBubbleSize val="0"/>
        </c:dLbls>
        <c:axId val="153959424"/>
        <c:axId val="141214848"/>
      </c:scatterChart>
      <c:valAx>
        <c:axId val="153959424"/>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zh-CN"/>
          </a:p>
        </c:txPr>
        <c:crossAx val="141214848"/>
        <c:crosses val="autoZero"/>
        <c:crossBetween val="midCat"/>
      </c:valAx>
      <c:valAx>
        <c:axId val="141214848"/>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zh-CN"/>
          </a:p>
        </c:txPr>
        <c:crossAx val="153959424"/>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zh-CN"/>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zh-CN"/>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16" fmlaLink="$E$60" inc="5" max="150" min="10" page="10" val="30"/>
</file>

<file path=xl/ctrlProps/ctrlProp4.xml><?xml version="1.0" encoding="utf-8"?>
<formControlPr xmlns="http://schemas.microsoft.com/office/spreadsheetml/2009/9/main" objectType="Spin" dx="16" fmlaLink="$E$66" max="100" min="1" page="10"/>
</file>

<file path=xl/ctrlProps/ctrlProp5.xml><?xml version="1.0" encoding="utf-8"?>
<formControlPr xmlns="http://schemas.microsoft.com/office/spreadsheetml/2009/9/main" objectType="Spin" dx="16" fmlaLink="$E$67" max="100" min="1" page="10" val="2"/>
</file>

<file path=xl/ctrlProps/ctrlProp6.xml><?xml version="1.0" encoding="utf-8"?>
<formControlPr xmlns="http://schemas.microsoft.com/office/spreadsheetml/2009/9/main" objectType="Spin" dx="16" fmlaLink="$E$68" inc="10" max="1000" min="100" page="10" val="100"/>
</file>

<file path=xl/ctrlProps/ctrlProp7.xml><?xml version="1.0" encoding="utf-8"?>
<formControlPr xmlns="http://schemas.microsoft.com/office/spreadsheetml/2009/9/main" objectType="Spin" dx="16" fmlaLink="$E$69" inc="10" max="1000" min="100" page="10" val="250"/>
</file>

<file path=xl/ctrlProps/ctrlProp8.xml><?xml version="1.0" encoding="utf-8"?>
<formControlPr xmlns="http://schemas.microsoft.com/office/spreadsheetml/2009/9/main" objectType="Drop" dropLines="2" dropStyle="combo" dx="16" fmlaLink="'Variable Management'!$M$56" fmlaRange="'Variable Management'!$L$54:$L$55" noThreeD="1" sel="1" val="0"/>
</file>

<file path=xl/ctrlProps/ctrlProp9.xml><?xml version="1.0" encoding="utf-8"?>
<formControlPr xmlns="http://schemas.microsoft.com/office/spreadsheetml/2009/9/main" objectType="Drop" dropLines="4" dropStyle="combo" dx="16" fmlaLink="'Schematic &amp; BOM'!$Q$49" fmlaRange="'Variable Management'!$L$48:$L$51" noThreeD="1" sel="1" val="0"/>
</file>

<file path=xl/ctrlProps/ctrlProp10.xml><?xml version="1.0" encoding="utf-8"?>
<formControlPr xmlns="http://schemas.microsoft.com/office/spreadsheetml/2009/9/main" objectType="Drop" dropStyle="combo" dx="16" fmlaLink="$Q$50" fmlaRange="'Variable Management'!$L$48:$L$51" noThreeD="1" sel="1" val="0"/>
</file>

<file path=xl/ctrlProps/ctrlProp11.xml><?xml version="1.0" encoding="utf-8"?>
<formControlPr xmlns="http://schemas.microsoft.com/office/spreadsheetml/2009/9/main" objectType="Drop" dropLines="3" dropStyle="combo" dx="16" fmlaLink="$Q$38" fmlaRange="'Variable Management'!$L$69:$L$71" noThreeD="1" sel="2" val="0"/>
</file>

<file path=xl/ctrlProps/ctrlProp12.xml><?xml version="1.0" encoding="utf-8"?>
<formControlPr xmlns="http://schemas.microsoft.com/office/spreadsheetml/2009/9/main" objectType="Drop" dropLines="3" dropStyle="combo" dx="16" fmlaLink="$Q$39" fmlaRange="'Variable Management'!$L$69:$L$71" noThreeD="1" sel="1" val="0"/>
</file>

<file path=xl/ctrlProps/ctrlProp13.xml><?xml version="1.0" encoding="utf-8"?>
<formControlPr xmlns="http://schemas.microsoft.com/office/spreadsheetml/2009/9/main" objectType="Drop" dropLines="3" dropStyle="combo" dx="16" fmlaLink="$Q$40" fmlaRange="'Variable Management'!$L$69:$L$71" noThreeD="1" sel="1" val="0"/>
</file>

<file path=xl/ctrlProps/ctrlProp14.xml><?xml version="1.0" encoding="utf-8"?>
<formControlPr xmlns="http://schemas.microsoft.com/office/spreadsheetml/2009/9/main" objectType="Drop" dropLines="3" dropStyle="combo" dx="16" fmlaLink="$Q$41" fmlaRange="'Variable Management'!$L$69:$L$71" noThreeD="1" sel="1" val="0"/>
</file>

<file path=xl/ctrlProps/ctrlProp15.xml><?xml version="1.0" encoding="utf-8"?>
<formControlPr xmlns="http://schemas.microsoft.com/office/spreadsheetml/2009/9/main" objectType="Drop" dropLines="3" dropStyle="combo" dx="16" fmlaLink="$Q$42" fmlaRange="'Variable Management'!$L$69:$L$71" noThreeD="1" sel="2" val="0"/>
</file>

<file path=xl/ctrlProps/ctrlProp16.xml><?xml version="1.0" encoding="utf-8"?>
<formControlPr xmlns="http://schemas.microsoft.com/office/spreadsheetml/2009/9/main" objectType="Drop" dropLines="3" dropStyle="combo" dx="16" fmlaLink="$Q$45" fmlaRange="'Variable Management'!$L$69:$L$71" noThreeD="1" sel="2" val="0"/>
</file>

<file path=xl/ctrlProps/ctrlProp17.xml><?xml version="1.0" encoding="utf-8"?>
<formControlPr xmlns="http://schemas.microsoft.com/office/spreadsheetml/2009/9/main" objectType="Drop" dropLines="3" dropStyle="combo" dx="16" fmlaLink="$Q$46" fmlaRange="'Variable Management'!$L$69:$L$71" noThreeD="1" sel="3" val="0"/>
</file>

<file path=xl/ctrlProps/ctrlProp18.xml><?xml version="1.0" encoding="utf-8"?>
<formControlPr xmlns="http://schemas.microsoft.com/office/spreadsheetml/2009/9/main" objectType="Drop" dropLines="3" dropStyle="combo" dx="16" fmlaLink="$Q$47" fmlaRange="'Variable Management'!$L$69:$L$71" noThreeD="1" sel="2" val="0"/>
</file>

<file path=xl/ctrlProps/ctrlProp19.xml><?xml version="1.0" encoding="utf-8"?>
<formControlPr xmlns="http://schemas.microsoft.com/office/spreadsheetml/2009/9/main" objectType="Drop" dropLines="3" dropStyle="combo" dx="16" fmlaLink="$Q$52" fmlaRange="'Variable Management'!$L$69:$L$71" noThreeD="1" sel="1" val="0"/>
</file>

<file path=xl/ctrlProps/ctrlProp20.xml><?xml version="1.0" encoding="utf-8"?>
<formControlPr xmlns="http://schemas.microsoft.com/office/spreadsheetml/2009/9/main" objectType="Drop" dropLines="3" dropStyle="combo" dx="16" fmlaLink="$Q$53" fmlaRange="'Variable Management'!$L$69:$L$71" noThreeD="1" sel="1" val="0"/>
</file>

<file path=xl/ctrlProps/ctrlProp21.xml><?xml version="1.0" encoding="utf-8"?>
<formControlPr xmlns="http://schemas.microsoft.com/office/spreadsheetml/2009/9/main" objectType="Drop" dropLines="3" dropStyle="combo" dx="16" fmlaLink="$Q$54" fmlaRange="'Variable Management'!$L$69:$L$71" noThreeD="1" sel="3" val="0"/>
</file>

<file path=xl/ctrlProps/ctrlProp22.xml><?xml version="1.0" encoding="utf-8"?>
<formControlPr xmlns="http://schemas.microsoft.com/office/spreadsheetml/2009/9/main" objectType="Drop" dropLines="3" dropStyle="combo" dx="16" fmlaLink="$Q$55" fmlaRange="'Variable Management'!$L$69:$L$71" noThreeD="1" sel="1" val="0"/>
</file>

<file path=xl/ctrlProps/ctrlProp23.xml><?xml version="1.0" encoding="utf-8"?>
<formControlPr xmlns="http://schemas.microsoft.com/office/spreadsheetml/2009/9/main" objectType="Drop" dropLines="3" dropStyle="combo" dx="16" fmlaLink="$Q$56" fmlaRange="'Variable Management'!$L$69:$L$71" noThreeD="1" sel="1" val="0"/>
</file>

<file path=xl/ctrlProps/ctrlProp24.xml><?xml version="1.0" encoding="utf-8"?>
<formControlPr xmlns="http://schemas.microsoft.com/office/spreadsheetml/2009/9/main" objectType="Drop" dropLines="3" dropStyle="combo" dx="16" fmlaLink="$Q$57" fmlaRange="'Variable Management'!$L$69:$L$71" noThreeD="1" sel="1" val="0"/>
</file>

<file path=xl/ctrlProps/ctrlProp25.xml><?xml version="1.0" encoding="utf-8"?>
<formControlPr xmlns="http://schemas.microsoft.com/office/spreadsheetml/2009/9/main" objectType="Drop" dropLines="3" dropStyle="combo" dx="16" fmlaLink="$Q$58" fmlaRange="'Variable Management'!$L$69:$L$71" noThreeD="1" sel="1" val="0"/>
</file>

<file path=xl/ctrlProps/ctrlProp26.xml><?xml version="1.0" encoding="utf-8"?>
<formControlPr xmlns="http://schemas.microsoft.com/office/spreadsheetml/2009/9/main" objectType="Drop" dropLines="3" dropStyle="combo" dx="16" fmlaLink="$Q$60" fmlaRange="'Variable Management'!$L$69:$L$71" noThreeD="1" sel="2" val="0"/>
</file>

<file path=xl/ctrlProps/ctrlProp27.xml><?xml version="1.0" encoding="utf-8"?>
<formControlPr xmlns="http://schemas.microsoft.com/office/spreadsheetml/2009/9/main" objectType="Drop" dropLines="3" dropStyle="combo" dx="16" fmlaLink="$Q$61" fmlaRange="'Variable Management'!$L$69:$L$71" noThreeD="1" sel="1" val="0"/>
</file>

<file path=xl/ctrlProps/ctrlProp28.xml><?xml version="1.0" encoding="utf-8"?>
<formControlPr xmlns="http://schemas.microsoft.com/office/spreadsheetml/2009/9/main" objectType="Drop" dropLines="3" dropStyle="combo" dx="16" fmlaLink="$Q$62" fmlaRange="'Variable Management'!$L$69:$L$71" noThreeD="1" sel="1" val="0"/>
</file>

<file path=xl/ctrlProps/ctrlProp29.xml><?xml version="1.0" encoding="utf-8"?>
<formControlPr xmlns="http://schemas.microsoft.com/office/spreadsheetml/2009/9/main" objectType="Drop" dropStyle="combo" dx="16" fmlaLink="$Q$48" fmlaRange="'Variable Management'!$L$78:$L$85" noThreeD="1" sel="7" val="0"/>
</file>

<file path=xl/ctrlProps/ctrlProp30.xml><?xml version="1.0" encoding="utf-8"?>
<formControlPr xmlns="http://schemas.microsoft.com/office/spreadsheetml/2009/9/main" objectType="Drop" dropLines="5" dropStyle="combo" dx="16" fmlaLink="$Q$43" fmlaRange="'Variable Management'!$L$69:$L$73" noThreeD="1" sel="5" val="0"/>
</file>

<file path=xl/ctrlProps/ctrlProp31.xml><?xml version="1.0" encoding="utf-8"?>
<formControlPr xmlns="http://schemas.microsoft.com/office/spreadsheetml/2009/9/main" objectType="Drop" dropLines="5" dropStyle="combo" dx="16" fmlaLink="$Q$44" fmlaRange="'Variable Management'!$L$69:$L$73" noThreeD="1" sel="5" val="0"/>
</file>

<file path=xl/ctrlProps/ctrlProp32.xml><?xml version="1.0" encoding="utf-8"?>
<formControlPr xmlns="http://schemas.microsoft.com/office/spreadsheetml/2009/9/main" objectType="Drop" dropLines="2" dropStyle="combo" dx="16" fmlaLink="'Schematic &amp; BOM'!$R$49" fmlaRange="'Variable Management'!$Q$44:$Q$45" noThreeD="1" sel="1" val="0"/>
</file>

<file path=xl/ctrlProps/ctrlProp33.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hyperlink" Target="http://www.ti.com/industrial" TargetMode="External"/><Relationship Id="rId3" Type="http://schemas.openxmlformats.org/officeDocument/2006/relationships/chart" Target="../charts/chart2.xml"/><Relationship Id="rId7" Type="http://schemas.openxmlformats.org/officeDocument/2006/relationships/image" Target="../media/image3.png"/><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hyperlink" Target="http://www.ti.com/communications" TargetMode="External"/><Relationship Id="rId11" Type="http://schemas.openxmlformats.org/officeDocument/2006/relationships/image" Target="../media/image5.png"/><Relationship Id="rId5" Type="http://schemas.openxmlformats.org/officeDocument/2006/relationships/image" Target="../media/image2.jpg"/><Relationship Id="rId10" Type="http://schemas.openxmlformats.org/officeDocument/2006/relationships/hyperlink" Target="http://www.ti.com/product/lm5145" TargetMode="External"/><Relationship Id="rId4" Type="http://schemas.openxmlformats.org/officeDocument/2006/relationships/hyperlink" Target="http://www.ti.com/widevin" TargetMode="External"/><Relationship Id="rId9"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jpeg"/><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emf"/></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390525</xdr:colOff>
          <xdr:row>73</xdr:row>
          <xdr:rowOff>9525</xdr:rowOff>
        </xdr:from>
        <xdr:to>
          <xdr:col>3</xdr:col>
          <xdr:colOff>9525</xdr:colOff>
          <xdr:row>76</xdr:row>
          <xdr:rowOff>19050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390525</xdr:colOff>
          <xdr:row>73</xdr:row>
          <xdr:rowOff>9525</xdr:rowOff>
        </xdr:from>
        <xdr:to>
          <xdr:col>3</xdr:col>
          <xdr:colOff>9525</xdr:colOff>
          <xdr:row>76</xdr:row>
          <xdr:rowOff>19050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900" b="1" i="0" u="none" strike="noStrike" baseline="0">
                  <a:solidFill>
                    <a:srgbClr val="000000"/>
                  </a:solidFill>
                  <a:latin typeface="Arial"/>
                  <a:cs typeface="Arial"/>
                </a:rPr>
                <a:t>FIX</a:t>
              </a:r>
            </a:p>
            <a:p>
              <a:pPr algn="ctr" rtl="0">
                <a:defRPr sz="1000"/>
              </a:pPr>
              <a:r>
                <a:rPr lang="zh-CN"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166894</xdr:colOff>
          <xdr:row>8</xdr:row>
          <xdr:rowOff>72059</xdr:rowOff>
        </xdr:from>
        <xdr:to>
          <xdr:col>16</xdr:col>
          <xdr:colOff>2281444</xdr:colOff>
          <xdr:row>36</xdr:row>
          <xdr:rowOff>81584</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73720"/>
                </a:ext>
              </a:extLst>
            </xdr:cNvPicPr>
          </xdr:nvPicPr>
          <xdr:blipFill>
            <a:blip xmlns:r="http://schemas.openxmlformats.org/officeDocument/2006/relationships" r:embed="rId1"/>
            <a:stretch>
              <a:fillRect/>
            </a:stretch>
          </xdr:blipFill>
          <xdr:spPr>
            <a:xfrm>
              <a:off x="3700669" y="1977059"/>
              <a:ext cx="8896350" cy="5162550"/>
            </a:xfrm>
            <a:prstGeom prst="rect">
              <a:avLst/>
            </a:prstGeom>
          </xdr:spPr>
        </xdr:pic>
        <xdr:clientData/>
      </xdr:twoCellAnchor>
    </mc:Choice>
    <mc:Fallback/>
  </mc:AlternateContent>
  <xdr:twoCellAnchor editAs="absolute">
    <xdr:from>
      <xdr:col>6</xdr:col>
      <xdr:colOff>228601</xdr:colOff>
      <xdr:row>42</xdr:row>
      <xdr:rowOff>46265</xdr:rowOff>
    </xdr:from>
    <xdr:to>
      <xdr:col>16</xdr:col>
      <xdr:colOff>2215563</xdr:colOff>
      <xdr:row>69</xdr:row>
      <xdr:rowOff>9525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61</xdr:row>
      <xdr:rowOff>198576</xdr:rowOff>
    </xdr:from>
    <xdr:to>
      <xdr:col>10</xdr:col>
      <xdr:colOff>402630</xdr:colOff>
      <xdr:row>63</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48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64</xdr:row>
      <xdr:rowOff>23362</xdr:rowOff>
    </xdr:from>
    <xdr:to>
      <xdr:col>9</xdr:col>
      <xdr:colOff>495300</xdr:colOff>
      <xdr:row>65</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81°</a:t>
          </a:fld>
          <a:endParaRPr lang="en-US" sz="1050" b="1" i="0" u="none" strike="noStrike" baseline="0">
            <a:solidFill>
              <a:srgbClr val="002060"/>
            </a:solidFill>
            <a:latin typeface="Arial"/>
            <a:cs typeface="Arial"/>
          </a:endParaRPr>
        </a:p>
      </xdr:txBody>
    </xdr:sp>
    <xdr:clientData/>
  </xdr:twoCellAnchor>
  <xdr:twoCellAnchor>
    <xdr:from>
      <xdr:col>6</xdr:col>
      <xdr:colOff>180974</xdr:colOff>
      <xdr:row>79</xdr:row>
      <xdr:rowOff>104775</xdr:rowOff>
    </xdr:from>
    <xdr:to>
      <xdr:col>16</xdr:col>
      <xdr:colOff>2228849</xdr:colOff>
      <xdr:row>105</xdr:row>
      <xdr:rowOff>201757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393927</xdr:colOff>
      <xdr:row>16</xdr:row>
      <xdr:rowOff>170372</xdr:rowOff>
    </xdr:from>
    <xdr:to>
      <xdr:col>7</xdr:col>
      <xdr:colOff>45948</xdr:colOff>
      <xdr:row>18</xdr:row>
      <xdr:rowOff>47869</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3921461" y="3540251"/>
          <a:ext cx="262935" cy="21908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556717</xdr:colOff>
      <xdr:row>14</xdr:row>
      <xdr:rowOff>121736</xdr:rowOff>
    </xdr:from>
    <xdr:to>
      <xdr:col>8</xdr:col>
      <xdr:colOff>109892</xdr:colOff>
      <xdr:row>15</xdr:row>
      <xdr:rowOff>75901</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4695165" y="3071202"/>
          <a:ext cx="341451" cy="203785"/>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435975</xdr:colOff>
      <xdr:row>14</xdr:row>
      <xdr:rowOff>78931</xdr:rowOff>
    </xdr:from>
    <xdr:to>
      <xdr:col>7</xdr:col>
      <xdr:colOff>93868</xdr:colOff>
      <xdr:row>15</xdr:row>
      <xdr:rowOff>73210</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3963509" y="3028397"/>
          <a:ext cx="268807" cy="24389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1651627</xdr:colOff>
      <xdr:row>23</xdr:row>
      <xdr:rowOff>19180</xdr:rowOff>
    </xdr:from>
    <xdr:to>
      <xdr:col>16</xdr:col>
      <xdr:colOff>2070727</xdr:colOff>
      <xdr:row>24</xdr:row>
      <xdr:rowOff>48748</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1964903" y="4722559"/>
          <a:ext cx="419100" cy="2200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221621</xdr:colOff>
      <xdr:row>32</xdr:row>
      <xdr:rowOff>45100</xdr:rowOff>
    </xdr:from>
    <xdr:to>
      <xdr:col>14</xdr:col>
      <xdr:colOff>86543</xdr:colOff>
      <xdr:row>33</xdr:row>
      <xdr:rowOff>137982</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8633387" y="6456616"/>
          <a:ext cx="472140" cy="26552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871373</xdr:colOff>
      <xdr:row>18</xdr:row>
      <xdr:rowOff>79929</xdr:rowOff>
    </xdr:from>
    <xdr:to>
      <xdr:col>16</xdr:col>
      <xdr:colOff>1213754</xdr:colOff>
      <xdr:row>19</xdr:row>
      <xdr:rowOff>165459</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282198" y="3842304"/>
          <a:ext cx="342381" cy="27603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602037</xdr:colOff>
      <xdr:row>23</xdr:row>
      <xdr:rowOff>47833</xdr:rowOff>
    </xdr:from>
    <xdr:to>
      <xdr:col>16</xdr:col>
      <xdr:colOff>927803</xdr:colOff>
      <xdr:row>24</xdr:row>
      <xdr:rowOff>80635</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0915313" y="4751212"/>
          <a:ext cx="325766" cy="22330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155625</xdr:colOff>
      <xdr:row>28</xdr:row>
      <xdr:rowOff>234682</xdr:rowOff>
    </xdr:from>
    <xdr:to>
      <xdr:col>15</xdr:col>
      <xdr:colOff>527937</xdr:colOff>
      <xdr:row>30</xdr:row>
      <xdr:rowOff>43726</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9877078" y="5890151"/>
          <a:ext cx="372312" cy="23171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225678</xdr:colOff>
      <xdr:row>16</xdr:row>
      <xdr:rowOff>116195</xdr:rowOff>
    </xdr:from>
    <xdr:to>
      <xdr:col>9</xdr:col>
      <xdr:colOff>550452</xdr:colOff>
      <xdr:row>18</xdr:row>
      <xdr:rowOff>41571</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5763316" y="3486074"/>
          <a:ext cx="324774" cy="26696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8</xdr:col>
      <xdr:colOff>409575</xdr:colOff>
      <xdr:row>29</xdr:row>
      <xdr:rowOff>29720</xdr:rowOff>
    </xdr:from>
    <xdr:to>
      <xdr:col>9</xdr:col>
      <xdr:colOff>161925</xdr:colOff>
      <xdr:row>29</xdr:row>
      <xdr:rowOff>29720</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257800" y="5506595"/>
          <a:ext cx="36195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88663</xdr:colOff>
      <xdr:row>22</xdr:row>
      <xdr:rowOff>27538</xdr:rowOff>
    </xdr:from>
    <xdr:to>
      <xdr:col>7</xdr:col>
      <xdr:colOff>481859</xdr:colOff>
      <xdr:row>23</xdr:row>
      <xdr:rowOff>57937</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227111" y="4540417"/>
          <a:ext cx="393196" cy="22089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7</xdr:col>
      <xdr:colOff>720772</xdr:colOff>
      <xdr:row>21</xdr:row>
      <xdr:rowOff>9732</xdr:rowOff>
    </xdr:from>
    <xdr:to>
      <xdr:col>8</xdr:col>
      <xdr:colOff>173588</xdr:colOff>
      <xdr:row>21</xdr:row>
      <xdr:rowOff>227638</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4873672" y="4331361"/>
          <a:ext cx="242030"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279544</xdr:colOff>
      <xdr:row>16</xdr:row>
      <xdr:rowOff>141533</xdr:rowOff>
    </xdr:from>
    <xdr:to>
      <xdr:col>8</xdr:col>
      <xdr:colOff>594593</xdr:colOff>
      <xdr:row>18</xdr:row>
      <xdr:rowOff>30350</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221658" y="3559647"/>
          <a:ext cx="315049" cy="23716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7</xdr:col>
      <xdr:colOff>667710</xdr:colOff>
      <xdr:row>16</xdr:row>
      <xdr:rowOff>149096</xdr:rowOff>
    </xdr:from>
    <xdr:to>
      <xdr:col>8</xdr:col>
      <xdr:colOff>187351</xdr:colOff>
      <xdr:row>18</xdr:row>
      <xdr:rowOff>44049</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4820610" y="3567210"/>
          <a:ext cx="308855" cy="2432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145462</xdr:colOff>
      <xdr:row>30</xdr:row>
      <xdr:rowOff>46351</xdr:rowOff>
    </xdr:from>
    <xdr:to>
      <xdr:col>15</xdr:col>
      <xdr:colOff>559114</xdr:colOff>
      <xdr:row>31</xdr:row>
      <xdr:rowOff>133725</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9866915" y="6124492"/>
          <a:ext cx="413652" cy="260014"/>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125891</xdr:colOff>
      <xdr:row>17</xdr:row>
      <xdr:rowOff>141880</xdr:rowOff>
    </xdr:from>
    <xdr:to>
      <xdr:col>9</xdr:col>
      <xdr:colOff>16880</xdr:colOff>
      <xdr:row>19</xdr:row>
      <xdr:rowOff>14801</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068005" y="3734166"/>
          <a:ext cx="500589" cy="237592"/>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2.6nF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366559</xdr:colOff>
      <xdr:row>21</xdr:row>
      <xdr:rowOff>10304</xdr:rowOff>
    </xdr:from>
    <xdr:to>
      <xdr:col>9</xdr:col>
      <xdr:colOff>211505</xdr:colOff>
      <xdr:row>21</xdr:row>
      <xdr:rowOff>230165</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395759" y="4325129"/>
          <a:ext cx="454546"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526804</xdr:colOff>
      <xdr:row>18</xdr:row>
      <xdr:rowOff>15228</xdr:rowOff>
    </xdr:from>
    <xdr:to>
      <xdr:col>8</xdr:col>
      <xdr:colOff>247141</xdr:colOff>
      <xdr:row>19</xdr:row>
      <xdr:rowOff>49638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4679704" y="3781685"/>
          <a:ext cx="509551" cy="22491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399597</xdr:colOff>
      <xdr:row>23</xdr:row>
      <xdr:rowOff>72760</xdr:rowOff>
    </xdr:from>
    <xdr:to>
      <xdr:col>7</xdr:col>
      <xdr:colOff>388347</xdr:colOff>
      <xdr:row>24</xdr:row>
      <xdr:rowOff>116340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3927131" y="4776139"/>
          <a:ext cx="599664" cy="234080"/>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288034</xdr:colOff>
      <xdr:row>15</xdr:row>
      <xdr:rowOff>42522</xdr:rowOff>
    </xdr:from>
    <xdr:to>
      <xdr:col>7</xdr:col>
      <xdr:colOff>79277</xdr:colOff>
      <xdr:row>16</xdr:row>
      <xdr:rowOff>131702</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3815568" y="3241608"/>
          <a:ext cx="402157" cy="259973"/>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1800Ω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247947</xdr:colOff>
      <xdr:row>18</xdr:row>
      <xdr:rowOff>25968</xdr:rowOff>
    </xdr:from>
    <xdr:to>
      <xdr:col>7</xdr:col>
      <xdr:colOff>123604</xdr:colOff>
      <xdr:row>19</xdr:row>
      <xdr:rowOff>19941</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3775481" y="3737434"/>
          <a:ext cx="486571" cy="184473"/>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3300pF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1627263</xdr:colOff>
      <xdr:row>24</xdr:row>
      <xdr:rowOff>61886</xdr:rowOff>
    </xdr:from>
    <xdr:to>
      <xdr:col>16</xdr:col>
      <xdr:colOff>2314575</xdr:colOff>
      <xdr:row>25</xdr:row>
      <xdr:rowOff>114299</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1942838" y="4967261"/>
          <a:ext cx="687312" cy="242913"/>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150 x 22µF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577438</xdr:colOff>
      <xdr:row>15</xdr:row>
      <xdr:rowOff>29427</xdr:rowOff>
    </xdr:from>
    <xdr:to>
      <xdr:col>8</xdr:col>
      <xdr:colOff>311657</xdr:colOff>
      <xdr:row>16</xdr:row>
      <xdr:rowOff>155643</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4715886" y="3228513"/>
          <a:ext cx="522495" cy="297009"/>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214228</xdr:colOff>
      <xdr:row>33</xdr:row>
      <xdr:rowOff>83622</xdr:rowOff>
    </xdr:from>
    <xdr:to>
      <xdr:col>14</xdr:col>
      <xdr:colOff>175297</xdr:colOff>
      <xdr:row>34</xdr:row>
      <xdr:rowOff>129793</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8625994" y="6667778"/>
          <a:ext cx="568287" cy="218812"/>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187Ω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729980</xdr:colOff>
      <xdr:row>21</xdr:row>
      <xdr:rowOff>3086</xdr:rowOff>
    </xdr:from>
    <xdr:to>
      <xdr:col>16</xdr:col>
      <xdr:colOff>1181450</xdr:colOff>
      <xdr:row>22</xdr:row>
      <xdr:rowOff>25469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140805" y="4317911"/>
          <a:ext cx="451470" cy="270033"/>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602914</xdr:colOff>
      <xdr:row>24</xdr:row>
      <xdr:rowOff>42066</xdr:rowOff>
    </xdr:from>
    <xdr:to>
      <xdr:col>16</xdr:col>
      <xdr:colOff>1238250</xdr:colOff>
      <xdr:row>25</xdr:row>
      <xdr:rowOff>85725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0918489" y="4947441"/>
          <a:ext cx="635336" cy="234159"/>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141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14</xdr:col>
      <xdr:colOff>500452</xdr:colOff>
      <xdr:row>14</xdr:row>
      <xdr:rowOff>12438</xdr:rowOff>
    </xdr:from>
    <xdr:to>
      <xdr:col>15</xdr:col>
      <xdr:colOff>259017</xdr:colOff>
      <xdr:row>14</xdr:row>
      <xdr:rowOff>247449</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9526211" y="2961904"/>
          <a:ext cx="369478"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201234</xdr:colOff>
      <xdr:row>18</xdr:row>
      <xdr:rowOff>27383</xdr:rowOff>
    </xdr:from>
    <xdr:to>
      <xdr:col>9</xdr:col>
      <xdr:colOff>554858</xdr:colOff>
      <xdr:row>19</xdr:row>
      <xdr:rowOff>71705</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5738872" y="3738849"/>
          <a:ext cx="353624" cy="234822"/>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220nF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577372</xdr:colOff>
      <xdr:row>12</xdr:row>
      <xdr:rowOff>165360</xdr:rowOff>
    </xdr:from>
    <xdr:to>
      <xdr:col>16</xdr:col>
      <xdr:colOff>945712</xdr:colOff>
      <xdr:row>14</xdr:row>
      <xdr:rowOff>41476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0890648" y="2746963"/>
          <a:ext cx="368340" cy="243979"/>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1890482</xdr:colOff>
      <xdr:row>21</xdr:row>
      <xdr:rowOff>133618</xdr:rowOff>
    </xdr:from>
    <xdr:to>
      <xdr:col>17</xdr:col>
      <xdr:colOff>43731</xdr:colOff>
      <xdr:row>22</xdr:row>
      <xdr:rowOff>114410</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203758" y="4396877"/>
          <a:ext cx="478663" cy="230412"/>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11.8V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1890482</xdr:colOff>
      <xdr:row>22</xdr:row>
      <xdr:rowOff>89494</xdr:rowOff>
    </xdr:from>
    <xdr:to>
      <xdr:col>17</xdr:col>
      <xdr:colOff>55395</xdr:colOff>
      <xdr:row>23</xdr:row>
      <xdr:rowOff>139234</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203758" y="4602373"/>
          <a:ext cx="490327" cy="240240"/>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20A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0</xdr:colOff>
      <xdr:row>29</xdr:row>
      <xdr:rowOff>29720</xdr:rowOff>
    </xdr:from>
    <xdr:to>
      <xdr:col>10</xdr:col>
      <xdr:colOff>219075</xdr:colOff>
      <xdr:row>29</xdr:row>
      <xdr:rowOff>29720</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286500" y="5506595"/>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407866</xdr:colOff>
      <xdr:row>13</xdr:row>
      <xdr:rowOff>120224</xdr:rowOff>
    </xdr:from>
    <xdr:to>
      <xdr:col>9</xdr:col>
      <xdr:colOff>789193</xdr:colOff>
      <xdr:row>14</xdr:row>
      <xdr:rowOff>201462</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5945504" y="2898896"/>
          <a:ext cx="381327" cy="2520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273147</xdr:colOff>
      <xdr:row>14</xdr:row>
      <xdr:rowOff>165329</xdr:rowOff>
    </xdr:from>
    <xdr:to>
      <xdr:col>9</xdr:col>
      <xdr:colOff>803820</xdr:colOff>
      <xdr:row>15</xdr:row>
      <xdr:rowOff>152554</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5816697" y="3127604"/>
          <a:ext cx="530673" cy="234875"/>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14</xdr:col>
      <xdr:colOff>475253</xdr:colOff>
      <xdr:row>13</xdr:row>
      <xdr:rowOff>2286</xdr:rowOff>
    </xdr:from>
    <xdr:to>
      <xdr:col>15</xdr:col>
      <xdr:colOff>254356</xdr:colOff>
      <xdr:row>14</xdr:row>
      <xdr:rowOff>51914</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9501012" y="2780958"/>
          <a:ext cx="390016" cy="2204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38393</xdr:colOff>
      <xdr:row>21</xdr:row>
      <xdr:rowOff>74537</xdr:rowOff>
    </xdr:from>
    <xdr:to>
      <xdr:col>16</xdr:col>
      <xdr:colOff>363557</xdr:colOff>
      <xdr:row>22</xdr:row>
      <xdr:rowOff>114604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351669" y="4337796"/>
          <a:ext cx="325164" cy="28968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41770</xdr:colOff>
      <xdr:row>16</xdr:row>
      <xdr:rowOff>73510</xdr:rowOff>
    </xdr:from>
    <xdr:to>
      <xdr:col>16</xdr:col>
      <xdr:colOff>366934</xdr:colOff>
      <xdr:row>17</xdr:row>
      <xdr:rowOff>165321</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355046" y="3443389"/>
          <a:ext cx="325164" cy="26260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423154</xdr:colOff>
      <xdr:row>9</xdr:row>
      <xdr:rowOff>130957</xdr:rowOff>
    </xdr:from>
    <xdr:to>
      <xdr:col>11</xdr:col>
      <xdr:colOff>369164</xdr:colOff>
      <xdr:row>11</xdr:row>
      <xdr:rowOff>3087</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6788482" y="2200181"/>
          <a:ext cx="556923" cy="213716"/>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10</xdr:col>
      <xdr:colOff>600213</xdr:colOff>
      <xdr:row>8</xdr:row>
      <xdr:rowOff>99942</xdr:rowOff>
    </xdr:from>
    <xdr:to>
      <xdr:col>11</xdr:col>
      <xdr:colOff>393752</xdr:colOff>
      <xdr:row>9</xdr:row>
      <xdr:rowOff>130340</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6965541" y="1998373"/>
          <a:ext cx="404452" cy="2011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549732</xdr:colOff>
      <xdr:row>9</xdr:row>
      <xdr:rowOff>120704</xdr:rowOff>
    </xdr:from>
    <xdr:to>
      <xdr:col>12</xdr:col>
      <xdr:colOff>278965</xdr:colOff>
      <xdr:row>10</xdr:row>
      <xdr:rowOff>157401</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525973" y="2189928"/>
          <a:ext cx="556923" cy="207490"/>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680884</xdr:colOff>
      <xdr:row>8</xdr:row>
      <xdr:rowOff>82786</xdr:rowOff>
    </xdr:from>
    <xdr:to>
      <xdr:col>12</xdr:col>
      <xdr:colOff>258631</xdr:colOff>
      <xdr:row>9</xdr:row>
      <xdr:rowOff>120574</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7657125" y="1981217"/>
          <a:ext cx="405437" cy="208581"/>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708841</xdr:colOff>
      <xdr:row>21</xdr:row>
      <xdr:rowOff>196334</xdr:rowOff>
    </xdr:from>
    <xdr:to>
      <xdr:col>16</xdr:col>
      <xdr:colOff>1222264</xdr:colOff>
      <xdr:row>23</xdr:row>
      <xdr:rowOff>20050</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119666" y="4511159"/>
          <a:ext cx="513423" cy="261866"/>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551713</xdr:colOff>
      <xdr:row>31</xdr:row>
      <xdr:rowOff>37033</xdr:rowOff>
    </xdr:from>
    <xdr:to>
      <xdr:col>12</xdr:col>
      <xdr:colOff>206105</xdr:colOff>
      <xdr:row>32</xdr:row>
      <xdr:rowOff>94210</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7528776" y="6275908"/>
          <a:ext cx="481876" cy="22981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569061</xdr:colOff>
      <xdr:row>32</xdr:row>
      <xdr:rowOff>45596</xdr:rowOff>
    </xdr:from>
    <xdr:to>
      <xdr:col>12</xdr:col>
      <xdr:colOff>344206</xdr:colOff>
      <xdr:row>33</xdr:row>
      <xdr:rowOff>115697</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7546124" y="6457112"/>
          <a:ext cx="602629" cy="242741"/>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58</xdr:row>
          <xdr:rowOff>161925</xdr:rowOff>
        </xdr:from>
        <xdr:to>
          <xdr:col>5</xdr:col>
          <xdr:colOff>180975</xdr:colOff>
          <xdr:row>60</xdr:row>
          <xdr:rowOff>9525</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65</xdr:row>
          <xdr:rowOff>0</xdr:rowOff>
        </xdr:from>
        <xdr:to>
          <xdr:col>5</xdr:col>
          <xdr:colOff>180975</xdr:colOff>
          <xdr:row>66</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180975</xdr:colOff>
          <xdr:row>66</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180975</xdr:colOff>
          <xdr:row>67</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180975</xdr:colOff>
          <xdr:row>68</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9525</xdr:colOff>
          <xdr:row>22</xdr:row>
          <xdr:rowOff>0</xdr:rowOff>
        </xdr:from>
        <xdr:to>
          <xdr:col>1</xdr:col>
          <xdr:colOff>523875</xdr:colOff>
          <xdr:row>23</xdr:row>
          <xdr:rowOff>0</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50235</xdr:colOff>
      <xdr:row>26</xdr:row>
      <xdr:rowOff>49559</xdr:rowOff>
    </xdr:from>
    <xdr:to>
      <xdr:col>16</xdr:col>
      <xdr:colOff>621233</xdr:colOff>
      <xdr:row>28</xdr:row>
      <xdr:rowOff>0</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0365810" y="5316884"/>
          <a:ext cx="570998" cy="293341"/>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116910</xdr:colOff>
      <xdr:row>25</xdr:row>
      <xdr:rowOff>11459</xdr:rowOff>
    </xdr:from>
    <xdr:to>
      <xdr:col>16</xdr:col>
      <xdr:colOff>687908</xdr:colOff>
      <xdr:row>26</xdr:row>
      <xdr:rowOff>56439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0432485" y="5107334"/>
          <a:ext cx="570998" cy="216430"/>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editAs="oneCell">
    <xdr:from>
      <xdr:col>16</xdr:col>
      <xdr:colOff>2000250</xdr:colOff>
      <xdr:row>0</xdr:row>
      <xdr:rowOff>9525</xdr:rowOff>
    </xdr:from>
    <xdr:to>
      <xdr:col>16</xdr:col>
      <xdr:colOff>2781300</xdr:colOff>
      <xdr:row>3</xdr:row>
      <xdr:rowOff>65315</xdr:rowOff>
    </xdr:to>
    <xdr:pic>
      <xdr:nvPicPr>
        <xdr:cNvPr id="4" name="Picture 3">
          <a:hlinkClick xmlns:r="http://schemas.openxmlformats.org/officeDocument/2006/relationships" r:id="rId6"/>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36775" r="36774"/>
        <a:stretch/>
      </xdr:blipFill>
      <xdr:spPr>
        <a:xfrm>
          <a:off x="12411075" y="9525"/>
          <a:ext cx="781050" cy="1047750"/>
        </a:xfrm>
        <a:prstGeom prst="rect">
          <a:avLst/>
        </a:prstGeom>
      </xdr:spPr>
    </xdr:pic>
    <xdr:clientData/>
  </xdr:twoCellAnchor>
  <xdr:twoCellAnchor editAs="oneCell">
    <xdr:from>
      <xdr:col>16</xdr:col>
      <xdr:colOff>800100</xdr:colOff>
      <xdr:row>0</xdr:row>
      <xdr:rowOff>38100</xdr:rowOff>
    </xdr:from>
    <xdr:to>
      <xdr:col>16</xdr:col>
      <xdr:colOff>2133600</xdr:colOff>
      <xdr:row>3</xdr:row>
      <xdr:rowOff>93890</xdr:rowOff>
    </xdr:to>
    <xdr:pic>
      <xdr:nvPicPr>
        <xdr:cNvPr id="6" name="Picture 5">
          <a:hlinkClick xmlns:r="http://schemas.openxmlformats.org/officeDocument/2006/relationships" r:id="rId8"/>
          <a:extLst>
            <a:ext uri="{FF2B5EF4-FFF2-40B4-BE49-F238E27FC236}">
              <a16:creationId xmlns:a16="http://schemas.microsoft.com/office/drawing/2014/main" id="{00000000-0008-0000-0000-000006000000}"/>
            </a:ext>
          </a:extLst>
        </xdr:cNvPr>
        <xdr:cNvPicPr>
          <a:picLocks noChangeAspect="1"/>
        </xdr:cNvPicPr>
      </xdr:nvPicPr>
      <xdr:blipFill rotWithShape="1">
        <a:blip xmlns:r="http://schemas.openxmlformats.org/officeDocument/2006/relationships" r:embed="rId9">
          <a:extLst>
            <a:ext uri="{28A0092B-C50C-407E-A947-70E740481C1C}">
              <a14:useLocalDpi xmlns:a14="http://schemas.microsoft.com/office/drawing/2010/main" val="0"/>
            </a:ext>
          </a:extLst>
        </a:blip>
        <a:srcRect l="26451" r="28387"/>
        <a:stretch/>
      </xdr:blipFill>
      <xdr:spPr>
        <a:xfrm>
          <a:off x="11210925" y="38100"/>
          <a:ext cx="1333500" cy="1047750"/>
        </a:xfrm>
        <a:prstGeom prst="rect">
          <a:avLst/>
        </a:prstGeom>
      </xdr:spPr>
    </xdr:pic>
    <xdr:clientData/>
  </xdr:twoCellAnchor>
  <xdr:twoCellAnchor>
    <xdr:from>
      <xdr:col>16</xdr:col>
      <xdr:colOff>790575</xdr:colOff>
      <xdr:row>83</xdr:row>
      <xdr:rowOff>0</xdr:rowOff>
    </xdr:from>
    <xdr:to>
      <xdr:col>16</xdr:col>
      <xdr:colOff>1212518</xdr:colOff>
      <xdr:row>84</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96.2%</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82</xdr:row>
      <xdr:rowOff>219075</xdr:rowOff>
    </xdr:from>
    <xdr:to>
      <xdr:col>13</xdr:col>
      <xdr:colOff>79043</xdr:colOff>
      <xdr:row>84</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96.5%</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158999</xdr:colOff>
      <xdr:row>32</xdr:row>
      <xdr:rowOff>170260</xdr:rowOff>
    </xdr:from>
    <xdr:to>
      <xdr:col>13</xdr:col>
      <xdr:colOff>19555</xdr:colOff>
      <xdr:row>34</xdr:row>
      <xdr:rowOff>91691</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7969499" y="6542485"/>
          <a:ext cx="470156" cy="264331"/>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Cs</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84931</xdr:colOff>
      <xdr:row>34</xdr:row>
      <xdr:rowOff>27807</xdr:rowOff>
    </xdr:from>
    <xdr:to>
      <xdr:col>13</xdr:col>
      <xdr:colOff>44015</xdr:colOff>
      <xdr:row>35</xdr:row>
      <xdr:rowOff>73977</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7895431" y="6742932"/>
          <a:ext cx="568684" cy="217620"/>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27pF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571499</xdr:colOff>
      <xdr:row>14</xdr:row>
      <xdr:rowOff>22991</xdr:rowOff>
    </xdr:from>
    <xdr:to>
      <xdr:col>16</xdr:col>
      <xdr:colOff>1714500</xdr:colOff>
      <xdr:row>15</xdr:row>
      <xdr:rowOff>15579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0884775" y="2972457"/>
          <a:ext cx="1143001" cy="242208"/>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24V to 24V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15</xdr:col>
      <xdr:colOff>381000</xdr:colOff>
      <xdr:row>0</xdr:row>
      <xdr:rowOff>0</xdr:rowOff>
    </xdr:from>
    <xdr:to>
      <xdr:col>16</xdr:col>
      <xdr:colOff>771525</xdr:colOff>
      <xdr:row>1</xdr:row>
      <xdr:rowOff>319</xdr:rowOff>
    </xdr:to>
    <xdr:pic>
      <xdr:nvPicPr>
        <xdr:cNvPr id="5" name="Picture 4">
          <a:hlinkClick xmlns:r="http://schemas.openxmlformats.org/officeDocument/2006/relationships" r:id="rId10" tooltip="LM5145"/>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0115550" y="0"/>
          <a:ext cx="1066800" cy="638494"/>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81°</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142875</xdr:rowOff>
        </xdr:from>
        <xdr:to>
          <xdr:col>8</xdr:col>
          <xdr:colOff>799272</xdr:colOff>
          <xdr:row>33</xdr:row>
          <xdr:rowOff>10353</xdr:rowOff>
        </xdr:to>
        <xdr:pic>
          <xdr:nvPicPr>
            <xdr:cNvPr id="49" name="Picture 48">
              <a:extLst>
                <a:ext uri="{FF2B5EF4-FFF2-40B4-BE49-F238E27FC236}">
                  <a16:creationId xmlns:a16="http://schemas.microsoft.com/office/drawing/2014/main" id="{00000000-0008-0000-0100-000031000000}"/>
                </a:ext>
              </a:extLst>
            </xdr:cNvPr>
            <xdr:cNvPicPr>
              <a:picLocks noChangeAspect="1"/>
              <a:extLst>
                <a:ext uri="{84589F7E-364E-4C9E-8A38-B11213B215E9}">
                  <a14:cameraTool cellRange="PICTURE10" spid="_x0000_s674512"/>
                </a:ext>
              </a:extLst>
            </xdr:cNvPicPr>
          </xdr:nvPicPr>
          <xdr:blipFill>
            <a:blip xmlns:r="http://schemas.openxmlformats.org/officeDocument/2006/relationships" r:embed="rId1"/>
            <a:stretch>
              <a:fillRect/>
            </a:stretch>
          </xdr:blipFill>
          <xdr:spPr>
            <a:xfrm>
              <a:off x="123825" y="142875"/>
              <a:ext cx="8914572" cy="5211003"/>
            </a:xfrm>
            <a:prstGeom prst="rect">
              <a:avLst/>
            </a:prstGeom>
          </xdr:spPr>
        </xdr:pic>
        <xdr:clientData/>
      </xdr:twoCellAnchor>
    </mc:Choice>
    <mc:Fallback/>
  </mc:AlternateContent>
  <xdr:twoCellAnchor>
    <xdr:from>
      <xdr:col>0</xdr:col>
      <xdr:colOff>350858</xdr:colOff>
      <xdr:row>10</xdr:row>
      <xdr:rowOff>112807</xdr:rowOff>
    </xdr:from>
    <xdr:to>
      <xdr:col>1</xdr:col>
      <xdr:colOff>34767</xdr:colOff>
      <xdr:row>12</xdr:row>
      <xdr:rowOff>14324</xdr:rowOff>
    </xdr:to>
    <xdr:sp macro="" textlink="">
      <xdr:nvSpPr>
        <xdr:cNvPr id="50" name="Text Box 224">
          <a:extLst>
            <a:ext uri="{FF2B5EF4-FFF2-40B4-BE49-F238E27FC236}">
              <a16:creationId xmlns:a16="http://schemas.microsoft.com/office/drawing/2014/main" id="{00000000-0008-0000-0100-000032000000}"/>
            </a:ext>
          </a:extLst>
        </xdr:cNvPr>
        <xdr:cNvSpPr txBox="1">
          <a:spLocks noChangeArrowheads="1"/>
        </xdr:cNvSpPr>
      </xdr:nvSpPr>
      <xdr:spPr bwMode="auto">
        <a:xfrm>
          <a:off x="350858" y="1732057"/>
          <a:ext cx="264934" cy="22536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545536</xdr:colOff>
      <xdr:row>7</xdr:row>
      <xdr:rowOff>127533</xdr:rowOff>
    </xdr:from>
    <xdr:to>
      <xdr:col>1</xdr:col>
      <xdr:colOff>885559</xdr:colOff>
      <xdr:row>9</xdr:row>
      <xdr:rowOff>6326</xdr:rowOff>
    </xdr:to>
    <xdr:sp macro="" textlink="">
      <xdr:nvSpPr>
        <xdr:cNvPr id="51" name="Text Box 225">
          <a:extLst>
            <a:ext uri="{FF2B5EF4-FFF2-40B4-BE49-F238E27FC236}">
              <a16:creationId xmlns:a16="http://schemas.microsoft.com/office/drawing/2014/main" id="{00000000-0008-0000-0100-000033000000}"/>
            </a:ext>
          </a:extLst>
        </xdr:cNvPr>
        <xdr:cNvSpPr txBox="1">
          <a:spLocks noChangeArrowheads="1"/>
        </xdr:cNvSpPr>
      </xdr:nvSpPr>
      <xdr:spPr bwMode="auto">
        <a:xfrm>
          <a:off x="1126561" y="1261008"/>
          <a:ext cx="340023" cy="202643"/>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392906</xdr:colOff>
      <xdr:row>7</xdr:row>
      <xdr:rowOff>84728</xdr:rowOff>
    </xdr:from>
    <xdr:to>
      <xdr:col>1</xdr:col>
      <xdr:colOff>82687</xdr:colOff>
      <xdr:row>9</xdr:row>
      <xdr:rowOff>3635</xdr:rowOff>
    </xdr:to>
    <xdr:sp macro="" textlink="">
      <xdr:nvSpPr>
        <xdr:cNvPr id="52" name="Text Box 227">
          <a:extLst>
            <a:ext uri="{FF2B5EF4-FFF2-40B4-BE49-F238E27FC236}">
              <a16:creationId xmlns:a16="http://schemas.microsoft.com/office/drawing/2014/main" id="{00000000-0008-0000-0100-000034000000}"/>
            </a:ext>
          </a:extLst>
        </xdr:cNvPr>
        <xdr:cNvSpPr txBox="1">
          <a:spLocks noChangeArrowheads="1"/>
        </xdr:cNvSpPr>
      </xdr:nvSpPr>
      <xdr:spPr bwMode="auto">
        <a:xfrm>
          <a:off x="392906" y="1218203"/>
          <a:ext cx="270806" cy="24275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182593</xdr:colOff>
      <xdr:row>17</xdr:row>
      <xdr:rowOff>150216</xdr:rowOff>
    </xdr:from>
    <xdr:to>
      <xdr:col>8</xdr:col>
      <xdr:colOff>601693</xdr:colOff>
      <xdr:row>19</xdr:row>
      <xdr:rowOff>46434</xdr:rowOff>
    </xdr:to>
    <xdr:sp macro="" textlink="">
      <xdr:nvSpPr>
        <xdr:cNvPr id="53" name="Text Box 228">
          <a:extLst>
            <a:ext uri="{FF2B5EF4-FFF2-40B4-BE49-F238E27FC236}">
              <a16:creationId xmlns:a16="http://schemas.microsoft.com/office/drawing/2014/main" id="{00000000-0008-0000-0100-000035000000}"/>
            </a:ext>
          </a:extLst>
        </xdr:cNvPr>
        <xdr:cNvSpPr txBox="1">
          <a:spLocks noChangeArrowheads="1"/>
        </xdr:cNvSpPr>
      </xdr:nvSpPr>
      <xdr:spPr bwMode="auto">
        <a:xfrm>
          <a:off x="8421718" y="2902941"/>
          <a:ext cx="419100" cy="2200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1068707</xdr:colOff>
      <xdr:row>28</xdr:row>
      <xdr:rowOff>83095</xdr:rowOff>
    </xdr:from>
    <xdr:to>
      <xdr:col>5</xdr:col>
      <xdr:colOff>394017</xdr:colOff>
      <xdr:row>30</xdr:row>
      <xdr:rowOff>24870</xdr:rowOff>
    </xdr:to>
    <xdr:sp macro="" textlink="">
      <xdr:nvSpPr>
        <xdr:cNvPr id="54" name="Text Box 231">
          <a:extLst>
            <a:ext uri="{FF2B5EF4-FFF2-40B4-BE49-F238E27FC236}">
              <a16:creationId xmlns:a16="http://schemas.microsoft.com/office/drawing/2014/main" id="{00000000-0008-0000-0100-000036000000}"/>
            </a:ext>
          </a:extLst>
        </xdr:cNvPr>
        <xdr:cNvSpPr txBox="1">
          <a:spLocks noChangeArrowheads="1"/>
        </xdr:cNvSpPr>
      </xdr:nvSpPr>
      <xdr:spPr bwMode="auto">
        <a:xfrm>
          <a:off x="5059682" y="4616995"/>
          <a:ext cx="477835" cy="26562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503626</xdr:colOff>
      <xdr:row>12</xdr:row>
      <xdr:rowOff>55909</xdr:rowOff>
    </xdr:from>
    <xdr:to>
      <xdr:col>7</xdr:col>
      <xdr:colOff>846007</xdr:colOff>
      <xdr:row>14</xdr:row>
      <xdr:rowOff>8089</xdr:rowOff>
    </xdr:to>
    <xdr:sp macro="" textlink="">
      <xdr:nvSpPr>
        <xdr:cNvPr id="55" name="Text Box 235">
          <a:extLst>
            <a:ext uri="{FF2B5EF4-FFF2-40B4-BE49-F238E27FC236}">
              <a16:creationId xmlns:a16="http://schemas.microsoft.com/office/drawing/2014/main" id="{00000000-0008-0000-0100-000037000000}"/>
            </a:ext>
          </a:extLst>
        </xdr:cNvPr>
        <xdr:cNvSpPr txBox="1">
          <a:spLocks noChangeArrowheads="1"/>
        </xdr:cNvSpPr>
      </xdr:nvSpPr>
      <xdr:spPr bwMode="auto">
        <a:xfrm>
          <a:off x="7666426" y="1999009"/>
          <a:ext cx="342381" cy="276030"/>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196190</xdr:colOff>
      <xdr:row>18</xdr:row>
      <xdr:rowOff>69496</xdr:rowOff>
    </xdr:from>
    <xdr:to>
      <xdr:col>7</xdr:col>
      <xdr:colOff>521956</xdr:colOff>
      <xdr:row>19</xdr:row>
      <xdr:rowOff>130873</xdr:rowOff>
    </xdr:to>
    <xdr:sp macro="" textlink="">
      <xdr:nvSpPr>
        <xdr:cNvPr id="56" name="Text Box 244">
          <a:extLst>
            <a:ext uri="{FF2B5EF4-FFF2-40B4-BE49-F238E27FC236}">
              <a16:creationId xmlns:a16="http://schemas.microsoft.com/office/drawing/2014/main" id="{00000000-0008-0000-0100-000038000000}"/>
            </a:ext>
          </a:extLst>
        </xdr:cNvPr>
        <xdr:cNvSpPr txBox="1">
          <a:spLocks noChangeArrowheads="1"/>
        </xdr:cNvSpPr>
      </xdr:nvSpPr>
      <xdr:spPr bwMode="auto">
        <a:xfrm>
          <a:off x="7358990" y="2984146"/>
          <a:ext cx="325766" cy="22330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1148244</xdr:colOff>
      <xdr:row>24</xdr:row>
      <xdr:rowOff>154754</xdr:rowOff>
    </xdr:from>
    <xdr:to>
      <xdr:col>6</xdr:col>
      <xdr:colOff>148956</xdr:colOff>
      <xdr:row>26</xdr:row>
      <xdr:rowOff>62361</xdr:rowOff>
    </xdr:to>
    <xdr:sp macro="" textlink="">
      <xdr:nvSpPr>
        <xdr:cNvPr id="57" name="Text Box 249">
          <a:extLst>
            <a:ext uri="{FF2B5EF4-FFF2-40B4-BE49-F238E27FC236}">
              <a16:creationId xmlns:a16="http://schemas.microsoft.com/office/drawing/2014/main" id="{00000000-0008-0000-0100-000039000000}"/>
            </a:ext>
          </a:extLst>
        </xdr:cNvPr>
        <xdr:cNvSpPr txBox="1">
          <a:spLocks noChangeArrowheads="1"/>
        </xdr:cNvSpPr>
      </xdr:nvSpPr>
      <xdr:spPr bwMode="auto">
        <a:xfrm>
          <a:off x="6291744" y="4040954"/>
          <a:ext cx="372312" cy="23145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623658</xdr:colOff>
      <xdr:row>10</xdr:row>
      <xdr:rowOff>58630</xdr:rowOff>
    </xdr:from>
    <xdr:to>
      <xdr:col>2</xdr:col>
      <xdr:colOff>948432</xdr:colOff>
      <xdr:row>12</xdr:row>
      <xdr:rowOff>8026</xdr:rowOff>
    </xdr:to>
    <xdr:sp macro="" textlink="">
      <xdr:nvSpPr>
        <xdr:cNvPr id="58" name="Text Box 251">
          <a:extLst>
            <a:ext uri="{FF2B5EF4-FFF2-40B4-BE49-F238E27FC236}">
              <a16:creationId xmlns:a16="http://schemas.microsoft.com/office/drawing/2014/main" id="{00000000-0008-0000-0100-00003A000000}"/>
            </a:ext>
          </a:extLst>
        </xdr:cNvPr>
        <xdr:cNvSpPr txBox="1">
          <a:spLocks noChangeArrowheads="1"/>
        </xdr:cNvSpPr>
      </xdr:nvSpPr>
      <xdr:spPr bwMode="auto">
        <a:xfrm>
          <a:off x="2195283" y="1677880"/>
          <a:ext cx="324774" cy="27324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194642</xdr:colOff>
      <xdr:row>25</xdr:row>
      <xdr:rowOff>36345</xdr:rowOff>
    </xdr:from>
    <xdr:to>
      <xdr:col>2</xdr:col>
      <xdr:colOff>559905</xdr:colOff>
      <xdr:row>25</xdr:row>
      <xdr:rowOff>36345</xdr:rowOff>
    </xdr:to>
    <xdr:sp macro="" textlink="">
      <xdr:nvSpPr>
        <xdr:cNvPr id="59" name="Text Box 252">
          <a:extLst>
            <a:ext uri="{FF2B5EF4-FFF2-40B4-BE49-F238E27FC236}">
              <a16:creationId xmlns:a16="http://schemas.microsoft.com/office/drawing/2014/main" id="{00000000-0008-0000-0100-00003B000000}"/>
            </a:ext>
          </a:extLst>
        </xdr:cNvPr>
        <xdr:cNvSpPr txBox="1">
          <a:spLocks noChangeArrowheads="1"/>
        </xdr:cNvSpPr>
      </xdr:nvSpPr>
      <xdr:spPr bwMode="auto">
        <a:xfrm>
          <a:off x="1766267" y="4084470"/>
          <a:ext cx="365263"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77482</xdr:colOff>
      <xdr:row>16</xdr:row>
      <xdr:rowOff>149706</xdr:rowOff>
    </xdr:from>
    <xdr:to>
      <xdr:col>1</xdr:col>
      <xdr:colOff>470678</xdr:colOff>
      <xdr:row>18</xdr:row>
      <xdr:rowOff>46755</xdr:rowOff>
    </xdr:to>
    <xdr:sp macro="" textlink="">
      <xdr:nvSpPr>
        <xdr:cNvPr id="60" name="Text Box 255">
          <a:extLst>
            <a:ext uri="{FF2B5EF4-FFF2-40B4-BE49-F238E27FC236}">
              <a16:creationId xmlns:a16="http://schemas.microsoft.com/office/drawing/2014/main" id="{00000000-0008-0000-0100-00003C000000}"/>
            </a:ext>
          </a:extLst>
        </xdr:cNvPr>
        <xdr:cNvSpPr txBox="1">
          <a:spLocks noChangeArrowheads="1"/>
        </xdr:cNvSpPr>
      </xdr:nvSpPr>
      <xdr:spPr bwMode="auto">
        <a:xfrm>
          <a:off x="658507" y="2740506"/>
          <a:ext cx="393196" cy="22089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709591</xdr:colOff>
      <xdr:row>15</xdr:row>
      <xdr:rowOff>45347</xdr:rowOff>
    </xdr:from>
    <xdr:to>
      <xdr:col>1</xdr:col>
      <xdr:colOff>949255</xdr:colOff>
      <xdr:row>16</xdr:row>
      <xdr:rowOff>101328</xdr:rowOff>
    </xdr:to>
    <xdr:sp macro="" textlink="">
      <xdr:nvSpPr>
        <xdr:cNvPr id="61" name="Text Box 256">
          <a:extLst>
            <a:ext uri="{FF2B5EF4-FFF2-40B4-BE49-F238E27FC236}">
              <a16:creationId xmlns:a16="http://schemas.microsoft.com/office/drawing/2014/main" id="{00000000-0008-0000-0100-00003D000000}"/>
            </a:ext>
          </a:extLst>
        </xdr:cNvPr>
        <xdr:cNvSpPr txBox="1">
          <a:spLocks noChangeArrowheads="1"/>
        </xdr:cNvSpPr>
      </xdr:nvSpPr>
      <xdr:spPr bwMode="auto">
        <a:xfrm>
          <a:off x="1290616" y="2474222"/>
          <a:ext cx="239664"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64611</xdr:colOff>
      <xdr:row>10</xdr:row>
      <xdr:rowOff>83968</xdr:rowOff>
    </xdr:from>
    <xdr:to>
      <xdr:col>2</xdr:col>
      <xdr:colOff>379660</xdr:colOff>
      <xdr:row>11</xdr:row>
      <xdr:rowOff>158730</xdr:rowOff>
    </xdr:to>
    <xdr:sp macro="" textlink="">
      <xdr:nvSpPr>
        <xdr:cNvPr id="62" name="Text Box 257">
          <a:extLst>
            <a:ext uri="{FF2B5EF4-FFF2-40B4-BE49-F238E27FC236}">
              <a16:creationId xmlns:a16="http://schemas.microsoft.com/office/drawing/2014/main" id="{00000000-0008-0000-0100-00003E000000}"/>
            </a:ext>
          </a:extLst>
        </xdr:cNvPr>
        <xdr:cNvSpPr txBox="1">
          <a:spLocks noChangeArrowheads="1"/>
        </xdr:cNvSpPr>
      </xdr:nvSpPr>
      <xdr:spPr bwMode="auto">
        <a:xfrm>
          <a:off x="1636236" y="1703218"/>
          <a:ext cx="315049" cy="23668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656529</xdr:colOff>
      <xdr:row>10</xdr:row>
      <xdr:rowOff>91531</xdr:rowOff>
    </xdr:from>
    <xdr:to>
      <xdr:col>1</xdr:col>
      <xdr:colOff>963018</xdr:colOff>
      <xdr:row>12</xdr:row>
      <xdr:rowOff>10504</xdr:rowOff>
    </xdr:to>
    <xdr:sp macro="" textlink="">
      <xdr:nvSpPr>
        <xdr:cNvPr id="63" name="Text Box 258">
          <a:extLst>
            <a:ext uri="{FF2B5EF4-FFF2-40B4-BE49-F238E27FC236}">
              <a16:creationId xmlns:a16="http://schemas.microsoft.com/office/drawing/2014/main" id="{00000000-0008-0000-0100-00003F000000}"/>
            </a:ext>
          </a:extLst>
        </xdr:cNvPr>
        <xdr:cNvSpPr txBox="1">
          <a:spLocks noChangeArrowheads="1"/>
        </xdr:cNvSpPr>
      </xdr:nvSpPr>
      <xdr:spPr bwMode="auto">
        <a:xfrm>
          <a:off x="1237554" y="1710781"/>
          <a:ext cx="306489" cy="24282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1130403</xdr:colOff>
      <xdr:row>26</xdr:row>
      <xdr:rowOff>35221</xdr:rowOff>
    </xdr:from>
    <xdr:to>
      <xdr:col>6</xdr:col>
      <xdr:colOff>172455</xdr:colOff>
      <xdr:row>27</xdr:row>
      <xdr:rowOff>134605</xdr:rowOff>
    </xdr:to>
    <xdr:sp macro="" textlink="">
      <xdr:nvSpPr>
        <xdr:cNvPr id="64" name="Text Box 260">
          <a:extLst>
            <a:ext uri="{FF2B5EF4-FFF2-40B4-BE49-F238E27FC236}">
              <a16:creationId xmlns:a16="http://schemas.microsoft.com/office/drawing/2014/main" id="{00000000-0008-0000-0100-000040000000}"/>
            </a:ext>
          </a:extLst>
        </xdr:cNvPr>
        <xdr:cNvSpPr txBox="1">
          <a:spLocks noChangeArrowheads="1"/>
        </xdr:cNvSpPr>
      </xdr:nvSpPr>
      <xdr:spPr bwMode="auto">
        <a:xfrm>
          <a:off x="6273903" y="4245271"/>
          <a:ext cx="413652" cy="26130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1</xdr:col>
      <xdr:colOff>901558</xdr:colOff>
      <xdr:row>11</xdr:row>
      <xdr:rowOff>96325</xdr:rowOff>
    </xdr:from>
    <xdr:to>
      <xdr:col>2</xdr:col>
      <xdr:colOff>414860</xdr:colOff>
      <xdr:row>13</xdr:row>
      <xdr:rowOff>9831</xdr:rowOff>
    </xdr:to>
    <xdr:sp macro="" textlink="'Variable Management'!B254">
      <xdr:nvSpPr>
        <xdr:cNvPr id="65" name="Text Box 261">
          <a:extLst>
            <a:ext uri="{FF2B5EF4-FFF2-40B4-BE49-F238E27FC236}">
              <a16:creationId xmlns:a16="http://schemas.microsoft.com/office/drawing/2014/main" id="{00000000-0008-0000-0100-000041000000}"/>
            </a:ext>
          </a:extLst>
        </xdr:cNvPr>
        <xdr:cNvSpPr txBox="1">
          <a:spLocks noChangeArrowheads="1" noTextEdit="1"/>
        </xdr:cNvSpPr>
      </xdr:nvSpPr>
      <xdr:spPr bwMode="auto">
        <a:xfrm>
          <a:off x="1482583" y="1877500"/>
          <a:ext cx="503902" cy="237356"/>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2.6nF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142101</xdr:colOff>
      <xdr:row>15</xdr:row>
      <xdr:rowOff>64969</xdr:rowOff>
    </xdr:from>
    <xdr:to>
      <xdr:col>2</xdr:col>
      <xdr:colOff>599960</xdr:colOff>
      <xdr:row>16</xdr:row>
      <xdr:rowOff>123733</xdr:rowOff>
    </xdr:to>
    <xdr:sp macro="" textlink="'Variable Management'!B255">
      <xdr:nvSpPr>
        <xdr:cNvPr id="66" name="Text Box 262">
          <a:extLst>
            <a:ext uri="{FF2B5EF4-FFF2-40B4-BE49-F238E27FC236}">
              <a16:creationId xmlns:a16="http://schemas.microsoft.com/office/drawing/2014/main" id="{00000000-0008-0000-0100-000042000000}"/>
            </a:ext>
          </a:extLst>
        </xdr:cNvPr>
        <xdr:cNvSpPr txBox="1">
          <a:spLocks noChangeArrowheads="1" noTextEdit="1"/>
        </xdr:cNvSpPr>
      </xdr:nvSpPr>
      <xdr:spPr bwMode="auto">
        <a:xfrm>
          <a:off x="1713726" y="2493844"/>
          <a:ext cx="457859" cy="220689"/>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515623</xdr:colOff>
      <xdr:row>11</xdr:row>
      <xdr:rowOff>143608</xdr:rowOff>
    </xdr:from>
    <xdr:to>
      <xdr:col>2</xdr:col>
      <xdr:colOff>32208</xdr:colOff>
      <xdr:row>13</xdr:row>
      <xdr:rowOff>44668</xdr:rowOff>
    </xdr:to>
    <xdr:sp macro="" textlink="'Variable Management'!B253">
      <xdr:nvSpPr>
        <xdr:cNvPr id="67" name="Text Box 263">
          <a:extLst>
            <a:ext uri="{FF2B5EF4-FFF2-40B4-BE49-F238E27FC236}">
              <a16:creationId xmlns:a16="http://schemas.microsoft.com/office/drawing/2014/main" id="{00000000-0008-0000-0100-000043000000}"/>
            </a:ext>
          </a:extLst>
        </xdr:cNvPr>
        <xdr:cNvSpPr txBox="1">
          <a:spLocks noChangeArrowheads="1" noTextEdit="1"/>
        </xdr:cNvSpPr>
      </xdr:nvSpPr>
      <xdr:spPr bwMode="auto">
        <a:xfrm>
          <a:off x="1096648" y="1924783"/>
          <a:ext cx="507185" cy="224910"/>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18kΩ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356528</xdr:colOff>
      <xdr:row>18</xdr:row>
      <xdr:rowOff>61578</xdr:rowOff>
    </xdr:from>
    <xdr:to>
      <xdr:col>1</xdr:col>
      <xdr:colOff>377166</xdr:colOff>
      <xdr:row>19</xdr:row>
      <xdr:rowOff>133733</xdr:rowOff>
    </xdr:to>
    <xdr:sp macro="" textlink="'Variable Management'!B259">
      <xdr:nvSpPr>
        <xdr:cNvPr id="68" name="Text Box 264">
          <a:extLst>
            <a:ext uri="{FF2B5EF4-FFF2-40B4-BE49-F238E27FC236}">
              <a16:creationId xmlns:a16="http://schemas.microsoft.com/office/drawing/2014/main" id="{00000000-0008-0000-0100-000044000000}"/>
            </a:ext>
          </a:extLst>
        </xdr:cNvPr>
        <xdr:cNvSpPr txBox="1">
          <a:spLocks noChangeArrowheads="1" noTextEdit="1"/>
        </xdr:cNvSpPr>
      </xdr:nvSpPr>
      <xdr:spPr bwMode="auto">
        <a:xfrm>
          <a:off x="356528" y="2976228"/>
          <a:ext cx="601663" cy="234080"/>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1.3kΩ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244965</xdr:colOff>
      <xdr:row>8</xdr:row>
      <xdr:rowOff>134872</xdr:rowOff>
    </xdr:from>
    <xdr:to>
      <xdr:col>1</xdr:col>
      <xdr:colOff>68096</xdr:colOff>
      <xdr:row>10</xdr:row>
      <xdr:rowOff>74137</xdr:rowOff>
    </xdr:to>
    <xdr:sp macro="" textlink="'Variable Management'!B256">
      <xdr:nvSpPr>
        <xdr:cNvPr id="69" name="Text Box 265">
          <a:extLst>
            <a:ext uri="{FF2B5EF4-FFF2-40B4-BE49-F238E27FC236}">
              <a16:creationId xmlns:a16="http://schemas.microsoft.com/office/drawing/2014/main" id="{00000000-0008-0000-0100-000045000000}"/>
            </a:ext>
          </a:extLst>
        </xdr:cNvPr>
        <xdr:cNvSpPr txBox="1">
          <a:spLocks noChangeArrowheads="1" noTextEdit="1"/>
        </xdr:cNvSpPr>
      </xdr:nvSpPr>
      <xdr:spPr bwMode="auto">
        <a:xfrm>
          <a:off x="244965" y="1430272"/>
          <a:ext cx="404156" cy="263115"/>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1800Ω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204878</xdr:colOff>
      <xdr:row>11</xdr:row>
      <xdr:rowOff>154348</xdr:rowOff>
    </xdr:from>
    <xdr:to>
      <xdr:col>1</xdr:col>
      <xdr:colOff>112423</xdr:colOff>
      <xdr:row>13</xdr:row>
      <xdr:rowOff>14971</xdr:rowOff>
    </xdr:to>
    <xdr:sp macro="" textlink="'Variable Management'!B257">
      <xdr:nvSpPr>
        <xdr:cNvPr id="70" name="Text Box 266">
          <a:extLst>
            <a:ext uri="{FF2B5EF4-FFF2-40B4-BE49-F238E27FC236}">
              <a16:creationId xmlns:a16="http://schemas.microsoft.com/office/drawing/2014/main" id="{00000000-0008-0000-0100-000046000000}"/>
            </a:ext>
          </a:extLst>
        </xdr:cNvPr>
        <xdr:cNvSpPr txBox="1">
          <a:spLocks noChangeArrowheads="1" noTextEdit="1"/>
        </xdr:cNvSpPr>
      </xdr:nvSpPr>
      <xdr:spPr bwMode="auto">
        <a:xfrm>
          <a:off x="204878" y="1935523"/>
          <a:ext cx="488570" cy="184473"/>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3300pF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177936</xdr:colOff>
      <xdr:row>19</xdr:row>
      <xdr:rowOff>59573</xdr:rowOff>
    </xdr:from>
    <xdr:to>
      <xdr:col>8</xdr:col>
      <xdr:colOff>678835</xdr:colOff>
      <xdr:row>20</xdr:row>
      <xdr:rowOff>104600</xdr:rowOff>
    </xdr:to>
    <xdr:sp macro="" textlink="'Variable Management'!B243">
      <xdr:nvSpPr>
        <xdr:cNvPr id="71" name="Text Box 267">
          <a:extLst>
            <a:ext uri="{FF2B5EF4-FFF2-40B4-BE49-F238E27FC236}">
              <a16:creationId xmlns:a16="http://schemas.microsoft.com/office/drawing/2014/main" id="{00000000-0008-0000-0100-000047000000}"/>
            </a:ext>
          </a:extLst>
        </xdr:cNvPr>
        <xdr:cNvSpPr txBox="1">
          <a:spLocks noChangeArrowheads="1" noTextEdit="1"/>
        </xdr:cNvSpPr>
      </xdr:nvSpPr>
      <xdr:spPr bwMode="auto">
        <a:xfrm>
          <a:off x="8417061" y="3136148"/>
          <a:ext cx="500899" cy="206952"/>
        </a:xfrm>
        <a:prstGeom prst="rect">
          <a:avLst/>
        </a:prstGeom>
        <a:noFill/>
        <a:ln w="9525">
          <a:noFill/>
          <a:miter lim="800000"/>
          <a:headEnd/>
          <a:tailEnd/>
        </a:ln>
      </xdr:spPr>
      <xdr:txBody>
        <a:bodyPr vertOverflow="clip" wrap="square" lIns="27432" tIns="22860" rIns="0" bIns="0" anchor="ctr" upright="1"/>
        <a:lstStyle/>
        <a:p>
          <a:pPr algn="l" rtl="0">
            <a:defRPr sz="1000"/>
          </a:pPr>
          <a:fld id="{DEF62FD0-959B-4627-B7E8-61CA1688D174}" type="TxLink">
            <a:rPr lang="en-US" sz="1000" b="0" i="0" u="none" strike="noStrike" baseline="0">
              <a:solidFill>
                <a:srgbClr val="000000"/>
              </a:solidFill>
              <a:latin typeface="Arial" pitchFamily="34" charset="0"/>
              <a:cs typeface="Arial" pitchFamily="34" charset="0"/>
            </a:rPr>
            <a:pPr algn="l" rtl="0">
              <a:defRPr sz="1000"/>
            </a:pPr>
            <a:t>3300µF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566257</xdr:colOff>
      <xdr:row>8</xdr:row>
      <xdr:rowOff>121777</xdr:rowOff>
    </xdr:from>
    <xdr:to>
      <xdr:col>2</xdr:col>
      <xdr:colOff>96724</xdr:colOff>
      <xdr:row>10</xdr:row>
      <xdr:rowOff>98078</xdr:rowOff>
    </xdr:to>
    <xdr:sp macro="" textlink="'Variable Management'!B258">
      <xdr:nvSpPr>
        <xdr:cNvPr id="72" name="Text Box 268">
          <a:extLst>
            <a:ext uri="{FF2B5EF4-FFF2-40B4-BE49-F238E27FC236}">
              <a16:creationId xmlns:a16="http://schemas.microsoft.com/office/drawing/2014/main" id="{00000000-0008-0000-0100-000048000000}"/>
            </a:ext>
          </a:extLst>
        </xdr:cNvPr>
        <xdr:cNvSpPr txBox="1">
          <a:spLocks noChangeArrowheads="1" noTextEdit="1"/>
        </xdr:cNvSpPr>
      </xdr:nvSpPr>
      <xdr:spPr bwMode="auto">
        <a:xfrm>
          <a:off x="1147282" y="1417177"/>
          <a:ext cx="521067" cy="300151"/>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18kΩ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1061314</xdr:colOff>
      <xdr:row>29</xdr:row>
      <xdr:rowOff>133626</xdr:rowOff>
    </xdr:from>
    <xdr:to>
      <xdr:col>5</xdr:col>
      <xdr:colOff>482771</xdr:colOff>
      <xdr:row>31</xdr:row>
      <xdr:rowOff>28691</xdr:rowOff>
    </xdr:to>
    <xdr:sp macro="" textlink="'Variable Management'!B268">
      <xdr:nvSpPr>
        <xdr:cNvPr id="73" name="Text Box 270">
          <a:extLst>
            <a:ext uri="{FF2B5EF4-FFF2-40B4-BE49-F238E27FC236}">
              <a16:creationId xmlns:a16="http://schemas.microsoft.com/office/drawing/2014/main" id="{00000000-0008-0000-0100-000049000000}"/>
            </a:ext>
          </a:extLst>
        </xdr:cNvPr>
        <xdr:cNvSpPr txBox="1">
          <a:spLocks noChangeArrowheads="1" noTextEdit="1"/>
        </xdr:cNvSpPr>
      </xdr:nvSpPr>
      <xdr:spPr bwMode="auto">
        <a:xfrm>
          <a:off x="5052289" y="4829451"/>
          <a:ext cx="573982" cy="21891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187Ω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343183</xdr:colOff>
      <xdr:row>15</xdr:row>
      <xdr:rowOff>57751</xdr:rowOff>
    </xdr:from>
    <xdr:to>
      <xdr:col>7</xdr:col>
      <xdr:colOff>794653</xdr:colOff>
      <xdr:row>17</xdr:row>
      <xdr:rowOff>4762</xdr:rowOff>
    </xdr:to>
    <xdr:sp macro="" textlink="'Variable Management'!B238">
      <xdr:nvSpPr>
        <xdr:cNvPr id="74" name="Text Box 275">
          <a:extLst>
            <a:ext uri="{FF2B5EF4-FFF2-40B4-BE49-F238E27FC236}">
              <a16:creationId xmlns:a16="http://schemas.microsoft.com/office/drawing/2014/main" id="{00000000-0008-0000-0100-00004A000000}"/>
            </a:ext>
          </a:extLst>
        </xdr:cNvPr>
        <xdr:cNvSpPr txBox="1">
          <a:spLocks noChangeArrowheads="1" noTextEdit="1"/>
        </xdr:cNvSpPr>
      </xdr:nvSpPr>
      <xdr:spPr bwMode="auto">
        <a:xfrm>
          <a:off x="7505983" y="2486626"/>
          <a:ext cx="451470" cy="27086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1.5µH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177360</xdr:colOff>
      <xdr:row>19</xdr:row>
      <xdr:rowOff>98873</xdr:rowOff>
    </xdr:from>
    <xdr:to>
      <xdr:col>7</xdr:col>
      <xdr:colOff>650035</xdr:colOff>
      <xdr:row>20</xdr:row>
      <xdr:rowOff>158477</xdr:rowOff>
    </xdr:to>
    <xdr:sp macro="" textlink="'Variable Management'!B248">
      <xdr:nvSpPr>
        <xdr:cNvPr id="75" name="Text Box 276">
          <a:extLst>
            <a:ext uri="{FF2B5EF4-FFF2-40B4-BE49-F238E27FC236}">
              <a16:creationId xmlns:a16="http://schemas.microsoft.com/office/drawing/2014/main" id="{00000000-0008-0000-0100-00004B000000}"/>
            </a:ext>
          </a:extLst>
        </xdr:cNvPr>
        <xdr:cNvSpPr txBox="1">
          <a:spLocks noChangeArrowheads="1" noTextEdit="1"/>
        </xdr:cNvSpPr>
      </xdr:nvSpPr>
      <xdr:spPr bwMode="auto">
        <a:xfrm>
          <a:off x="7340160" y="3175448"/>
          <a:ext cx="472675" cy="221529"/>
        </a:xfrm>
        <a:prstGeom prst="rect">
          <a:avLst/>
        </a:prstGeom>
        <a:noFill/>
        <a:ln w="9525">
          <a:noFill/>
          <a:miter lim="800000"/>
          <a:headEnd/>
          <a:tailEnd/>
        </a:ln>
      </xdr:spPr>
      <xdr:txBody>
        <a:bodyPr vertOverflow="clip" wrap="square" lIns="27432" tIns="22860" rIns="0" bIns="0" anchor="ctr" upright="1"/>
        <a:lstStyle/>
        <a:p>
          <a:pPr algn="l" rtl="0">
            <a:defRPr sz="1000"/>
          </a:pPr>
          <a:fld id="{7E8F3901-1453-4951-8E28-510E65401D4C}" type="TxLink">
            <a:rPr lang="en-US" sz="1000" b="0" i="0" u="none" strike="noStrike" baseline="0">
              <a:solidFill>
                <a:srgbClr val="000000"/>
              </a:solidFill>
              <a:latin typeface="Arial" pitchFamily="34" charset="0"/>
              <a:cs typeface="Arial" pitchFamily="34" charset="0"/>
            </a:rPr>
            <a:pPr algn="l" rtl="0">
              <a:defRPr sz="1000"/>
            </a:pPr>
            <a:t>660µF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821818</xdr:colOff>
      <xdr:row>7</xdr:row>
      <xdr:rowOff>18235</xdr:rowOff>
    </xdr:from>
    <xdr:to>
      <xdr:col>5</xdr:col>
      <xdr:colOff>1193296</xdr:colOff>
      <xdr:row>8</xdr:row>
      <xdr:rowOff>91321</xdr:rowOff>
    </xdr:to>
    <xdr:sp macro="" textlink="">
      <xdr:nvSpPr>
        <xdr:cNvPr id="76" name="Text Box 279">
          <a:extLst>
            <a:ext uri="{FF2B5EF4-FFF2-40B4-BE49-F238E27FC236}">
              <a16:creationId xmlns:a16="http://schemas.microsoft.com/office/drawing/2014/main" id="{00000000-0008-0000-0100-00004C000000}"/>
            </a:ext>
          </a:extLst>
        </xdr:cNvPr>
        <xdr:cNvSpPr txBox="1">
          <a:spLocks noChangeArrowheads="1"/>
        </xdr:cNvSpPr>
      </xdr:nvSpPr>
      <xdr:spPr bwMode="auto">
        <a:xfrm>
          <a:off x="5965318" y="1151710"/>
          <a:ext cx="371478"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605783</xdr:colOff>
      <xdr:row>11</xdr:row>
      <xdr:rowOff>155763</xdr:rowOff>
    </xdr:from>
    <xdr:to>
      <xdr:col>2</xdr:col>
      <xdr:colOff>959407</xdr:colOff>
      <xdr:row>13</xdr:row>
      <xdr:rowOff>66735</xdr:rowOff>
    </xdr:to>
    <xdr:sp macro="" textlink="'Variable Management'!B276">
      <xdr:nvSpPr>
        <xdr:cNvPr id="77" name="Text Box 281">
          <a:extLst>
            <a:ext uri="{FF2B5EF4-FFF2-40B4-BE49-F238E27FC236}">
              <a16:creationId xmlns:a16="http://schemas.microsoft.com/office/drawing/2014/main" id="{00000000-0008-0000-0100-00004D000000}"/>
            </a:ext>
          </a:extLst>
        </xdr:cNvPr>
        <xdr:cNvSpPr txBox="1">
          <a:spLocks noChangeArrowheads="1" noTextEdit="1"/>
        </xdr:cNvSpPr>
      </xdr:nvSpPr>
      <xdr:spPr bwMode="auto">
        <a:xfrm>
          <a:off x="2177408" y="1936938"/>
          <a:ext cx="353624" cy="234822"/>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220nF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150027</xdr:colOff>
      <xdr:row>5</xdr:row>
      <xdr:rowOff>138246</xdr:rowOff>
    </xdr:from>
    <xdr:to>
      <xdr:col>7</xdr:col>
      <xdr:colOff>518367</xdr:colOff>
      <xdr:row>7</xdr:row>
      <xdr:rowOff>58919</xdr:rowOff>
    </xdr:to>
    <xdr:sp macro="" textlink="'Variable Management'!B280">
      <xdr:nvSpPr>
        <xdr:cNvPr id="78" name="Text Box 283">
          <a:extLst>
            <a:ext uri="{FF2B5EF4-FFF2-40B4-BE49-F238E27FC236}">
              <a16:creationId xmlns:a16="http://schemas.microsoft.com/office/drawing/2014/main" id="{00000000-0008-0000-0100-00004E000000}"/>
            </a:ext>
          </a:extLst>
        </xdr:cNvPr>
        <xdr:cNvSpPr txBox="1">
          <a:spLocks noChangeArrowheads="1" noTextEdit="1"/>
        </xdr:cNvSpPr>
      </xdr:nvSpPr>
      <xdr:spPr bwMode="auto">
        <a:xfrm>
          <a:off x="7302436" y="960860"/>
          <a:ext cx="368340" cy="249718"/>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393381</xdr:colOff>
      <xdr:row>16</xdr:row>
      <xdr:rowOff>7308</xdr:rowOff>
    </xdr:from>
    <xdr:to>
      <xdr:col>8</xdr:col>
      <xdr:colOff>874043</xdr:colOff>
      <xdr:row>17</xdr:row>
      <xdr:rowOff>74653</xdr:rowOff>
    </xdr:to>
    <xdr:sp macro="" textlink="'Variable Management'!B241">
      <xdr:nvSpPr>
        <xdr:cNvPr id="79" name="Text Box 285">
          <a:extLst>
            <a:ext uri="{FF2B5EF4-FFF2-40B4-BE49-F238E27FC236}">
              <a16:creationId xmlns:a16="http://schemas.microsoft.com/office/drawing/2014/main" id="{00000000-0008-0000-0100-00004F000000}"/>
            </a:ext>
          </a:extLst>
        </xdr:cNvPr>
        <xdr:cNvSpPr txBox="1">
          <a:spLocks noChangeArrowheads="1" noTextEdit="1"/>
        </xdr:cNvSpPr>
      </xdr:nvSpPr>
      <xdr:spPr bwMode="auto">
        <a:xfrm>
          <a:off x="8619517" y="2639672"/>
          <a:ext cx="480662" cy="231867"/>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11.8V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393381</xdr:colOff>
      <xdr:row>17</xdr:row>
      <xdr:rowOff>49737</xdr:rowOff>
    </xdr:from>
    <xdr:to>
      <xdr:col>8</xdr:col>
      <xdr:colOff>885707</xdr:colOff>
      <xdr:row>18</xdr:row>
      <xdr:rowOff>128052</xdr:rowOff>
    </xdr:to>
    <xdr:sp macro="" textlink="'Variable Management'!B279">
      <xdr:nvSpPr>
        <xdr:cNvPr id="80" name="Text Box 286">
          <a:extLst>
            <a:ext uri="{FF2B5EF4-FFF2-40B4-BE49-F238E27FC236}">
              <a16:creationId xmlns:a16="http://schemas.microsoft.com/office/drawing/2014/main" id="{00000000-0008-0000-0100-000050000000}"/>
            </a:ext>
          </a:extLst>
        </xdr:cNvPr>
        <xdr:cNvSpPr txBox="1">
          <a:spLocks noChangeArrowheads="1" noTextEdit="1"/>
        </xdr:cNvSpPr>
      </xdr:nvSpPr>
      <xdr:spPr bwMode="auto">
        <a:xfrm>
          <a:off x="8619517" y="2846623"/>
          <a:ext cx="492326" cy="242838"/>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20A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149916</xdr:colOff>
      <xdr:row>25</xdr:row>
      <xdr:rowOff>36345</xdr:rowOff>
    </xdr:from>
    <xdr:to>
      <xdr:col>3</xdr:col>
      <xdr:colOff>368991</xdr:colOff>
      <xdr:row>25</xdr:row>
      <xdr:rowOff>36345</xdr:rowOff>
    </xdr:to>
    <xdr:sp macro="" textlink="'Variable Management'!B292">
      <xdr:nvSpPr>
        <xdr:cNvPr id="81" name="Text Box 299">
          <a:extLst>
            <a:ext uri="{FF2B5EF4-FFF2-40B4-BE49-F238E27FC236}">
              <a16:creationId xmlns:a16="http://schemas.microsoft.com/office/drawing/2014/main" id="{00000000-0008-0000-0100-000051000000}"/>
            </a:ext>
          </a:extLst>
        </xdr:cNvPr>
        <xdr:cNvSpPr txBox="1">
          <a:spLocks noChangeArrowheads="1" noTextEdit="1"/>
        </xdr:cNvSpPr>
      </xdr:nvSpPr>
      <xdr:spPr bwMode="auto">
        <a:xfrm>
          <a:off x="2797866" y="4084470"/>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805846</xdr:colOff>
      <xdr:row>6</xdr:row>
      <xdr:rowOff>114011</xdr:rowOff>
    </xdr:from>
    <xdr:to>
      <xdr:col>3</xdr:col>
      <xdr:colOff>110848</xdr:colOff>
      <xdr:row>8</xdr:row>
      <xdr:rowOff>45334</xdr:rowOff>
    </xdr:to>
    <xdr:sp macro="" textlink="">
      <xdr:nvSpPr>
        <xdr:cNvPr id="82" name="Text Box 251">
          <a:extLst>
            <a:ext uri="{FF2B5EF4-FFF2-40B4-BE49-F238E27FC236}">
              <a16:creationId xmlns:a16="http://schemas.microsoft.com/office/drawing/2014/main" id="{00000000-0008-0000-0100-000052000000}"/>
            </a:ext>
          </a:extLst>
        </xdr:cNvPr>
        <xdr:cNvSpPr txBox="1">
          <a:spLocks noChangeArrowheads="1"/>
        </xdr:cNvSpPr>
      </xdr:nvSpPr>
      <xdr:spPr bwMode="auto">
        <a:xfrm>
          <a:off x="2377471" y="1085561"/>
          <a:ext cx="381327" cy="2551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633027</xdr:colOff>
      <xdr:row>8</xdr:row>
      <xdr:rowOff>9201</xdr:rowOff>
    </xdr:from>
    <xdr:to>
      <xdr:col>3</xdr:col>
      <xdr:colOff>87375</xdr:colOff>
      <xdr:row>9</xdr:row>
      <xdr:rowOff>82979</xdr:rowOff>
    </xdr:to>
    <xdr:sp macro="" textlink="'Variable Management'!B275">
      <xdr:nvSpPr>
        <xdr:cNvPr id="83" name="Text Box 281">
          <a:extLst>
            <a:ext uri="{FF2B5EF4-FFF2-40B4-BE49-F238E27FC236}">
              <a16:creationId xmlns:a16="http://schemas.microsoft.com/office/drawing/2014/main" id="{00000000-0008-0000-0100-000053000000}"/>
            </a:ext>
          </a:extLst>
        </xdr:cNvPr>
        <xdr:cNvSpPr txBox="1">
          <a:spLocks noChangeArrowheads="1" noTextEdit="1"/>
        </xdr:cNvSpPr>
      </xdr:nvSpPr>
      <xdr:spPr bwMode="auto">
        <a:xfrm>
          <a:off x="2204652" y="1304601"/>
          <a:ext cx="530673" cy="235703"/>
        </a:xfrm>
        <a:prstGeom prst="rect">
          <a:avLst/>
        </a:prstGeom>
        <a:noFill/>
        <a:ln w="9525">
          <a:noFill/>
          <a:miter lim="800000"/>
          <a:headEnd/>
          <a:tailEnd/>
        </a:ln>
      </xdr:spPr>
      <xdr:txBody>
        <a:bodyPr vertOverflow="clip" wrap="square" lIns="27432" tIns="22860" rIns="0" bIns="0" anchor="t" upright="1"/>
        <a:lstStyle/>
        <a:p>
          <a:pPr algn="r" rtl="0">
            <a:defRPr sz="1000"/>
          </a:pPr>
          <a:fld id="{84EB9262-B954-486D-9975-AAB24967BDAC}" type="TxLink">
            <a:rPr lang="en-US" sz="1000" b="0" i="0" u="none" strike="noStrike">
              <a:solidFill>
                <a:srgbClr val="000000"/>
              </a:solidFill>
              <a:latin typeface="Arial" pitchFamily="34" charset="0"/>
              <a:cs typeface="Arial" pitchFamily="34" charset="0"/>
            </a:rPr>
            <a:pPr algn="r"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796619</xdr:colOff>
      <xdr:row>5</xdr:row>
      <xdr:rowOff>157998</xdr:rowOff>
    </xdr:from>
    <xdr:to>
      <xdr:col>5</xdr:col>
      <xdr:colOff>1188635</xdr:colOff>
      <xdr:row>7</xdr:row>
      <xdr:rowOff>57711</xdr:rowOff>
    </xdr:to>
    <xdr:sp macro="" textlink="">
      <xdr:nvSpPr>
        <xdr:cNvPr id="84" name="Text Box 247">
          <a:extLst>
            <a:ext uri="{FF2B5EF4-FFF2-40B4-BE49-F238E27FC236}">
              <a16:creationId xmlns:a16="http://schemas.microsoft.com/office/drawing/2014/main" id="{00000000-0008-0000-0100-000054000000}"/>
            </a:ext>
          </a:extLst>
        </xdr:cNvPr>
        <xdr:cNvSpPr txBox="1">
          <a:spLocks noChangeArrowheads="1"/>
        </xdr:cNvSpPr>
      </xdr:nvSpPr>
      <xdr:spPr bwMode="auto">
        <a:xfrm>
          <a:off x="5940119" y="967623"/>
          <a:ext cx="392016" cy="223563"/>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273061</xdr:colOff>
      <xdr:row>15</xdr:row>
      <xdr:rowOff>99032</xdr:rowOff>
    </xdr:from>
    <xdr:to>
      <xdr:col>6</xdr:col>
      <xdr:colOff>599416</xdr:colOff>
      <xdr:row>17</xdr:row>
      <xdr:rowOff>66061</xdr:rowOff>
    </xdr:to>
    <xdr:sp macro="" textlink="">
      <xdr:nvSpPr>
        <xdr:cNvPr id="85" name="Text Box 244">
          <a:extLst>
            <a:ext uri="{FF2B5EF4-FFF2-40B4-BE49-F238E27FC236}">
              <a16:creationId xmlns:a16="http://schemas.microsoft.com/office/drawing/2014/main" id="{00000000-0008-0000-0100-000055000000}"/>
            </a:ext>
          </a:extLst>
        </xdr:cNvPr>
        <xdr:cNvSpPr txBox="1">
          <a:spLocks noChangeArrowheads="1"/>
        </xdr:cNvSpPr>
      </xdr:nvSpPr>
      <xdr:spPr bwMode="auto">
        <a:xfrm>
          <a:off x="6791733" y="2510048"/>
          <a:ext cx="326355" cy="28849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268269</xdr:colOff>
      <xdr:row>10</xdr:row>
      <xdr:rowOff>4039</xdr:rowOff>
    </xdr:from>
    <xdr:to>
      <xdr:col>6</xdr:col>
      <xdr:colOff>593433</xdr:colOff>
      <xdr:row>11</xdr:row>
      <xdr:rowOff>107860</xdr:rowOff>
    </xdr:to>
    <xdr:sp macro="" textlink="">
      <xdr:nvSpPr>
        <xdr:cNvPr id="86" name="Text Box 244">
          <a:extLst>
            <a:ext uri="{FF2B5EF4-FFF2-40B4-BE49-F238E27FC236}">
              <a16:creationId xmlns:a16="http://schemas.microsoft.com/office/drawing/2014/main" id="{00000000-0008-0000-0100-000056000000}"/>
            </a:ext>
          </a:extLst>
        </xdr:cNvPr>
        <xdr:cNvSpPr txBox="1">
          <a:spLocks noChangeArrowheads="1"/>
        </xdr:cNvSpPr>
      </xdr:nvSpPr>
      <xdr:spPr bwMode="auto">
        <a:xfrm>
          <a:off x="6786941" y="1611383"/>
          <a:ext cx="325164" cy="26455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573070</xdr:colOff>
      <xdr:row>2</xdr:row>
      <xdr:rowOff>29194</xdr:rowOff>
    </xdr:from>
    <xdr:to>
      <xdr:col>3</xdr:col>
      <xdr:colOff>1131993</xdr:colOff>
      <xdr:row>3</xdr:row>
      <xdr:rowOff>84127</xdr:rowOff>
    </xdr:to>
    <xdr:sp macro="" textlink="'Variable Management'!G98">
      <xdr:nvSpPr>
        <xdr:cNvPr id="87" name="Text Box 264">
          <a:extLst>
            <a:ext uri="{FF2B5EF4-FFF2-40B4-BE49-F238E27FC236}">
              <a16:creationId xmlns:a16="http://schemas.microsoft.com/office/drawing/2014/main" id="{00000000-0008-0000-0100-000057000000}"/>
            </a:ext>
          </a:extLst>
        </xdr:cNvPr>
        <xdr:cNvSpPr txBox="1">
          <a:spLocks noChangeArrowheads="1" noTextEdit="1"/>
        </xdr:cNvSpPr>
      </xdr:nvSpPr>
      <xdr:spPr bwMode="auto">
        <a:xfrm>
          <a:off x="3221020" y="353044"/>
          <a:ext cx="558923" cy="216858"/>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121kΩ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750129</xdr:colOff>
      <xdr:row>0</xdr:row>
      <xdr:rowOff>148095</xdr:rowOff>
    </xdr:from>
    <xdr:to>
      <xdr:col>3</xdr:col>
      <xdr:colOff>1156581</xdr:colOff>
      <xdr:row>2</xdr:row>
      <xdr:rowOff>28577</xdr:rowOff>
    </xdr:to>
    <xdr:sp macro="" textlink="">
      <xdr:nvSpPr>
        <xdr:cNvPr id="88" name="Text Box 255">
          <a:extLst>
            <a:ext uri="{FF2B5EF4-FFF2-40B4-BE49-F238E27FC236}">
              <a16:creationId xmlns:a16="http://schemas.microsoft.com/office/drawing/2014/main" id="{00000000-0008-0000-0100-000058000000}"/>
            </a:ext>
          </a:extLst>
        </xdr:cNvPr>
        <xdr:cNvSpPr txBox="1">
          <a:spLocks noChangeArrowheads="1"/>
        </xdr:cNvSpPr>
      </xdr:nvSpPr>
      <xdr:spPr bwMode="auto">
        <a:xfrm>
          <a:off x="3398079" y="148095"/>
          <a:ext cx="406452" cy="2043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1312561</xdr:colOff>
      <xdr:row>2</xdr:row>
      <xdr:rowOff>41604</xdr:rowOff>
    </xdr:from>
    <xdr:to>
      <xdr:col>4</xdr:col>
      <xdr:colOff>527030</xdr:colOff>
      <xdr:row>3</xdr:row>
      <xdr:rowOff>90311</xdr:rowOff>
    </xdr:to>
    <xdr:sp macro="" textlink="'Variable Management'!G97">
      <xdr:nvSpPr>
        <xdr:cNvPr id="90" name="Text Box 264">
          <a:extLst>
            <a:ext uri="{FF2B5EF4-FFF2-40B4-BE49-F238E27FC236}">
              <a16:creationId xmlns:a16="http://schemas.microsoft.com/office/drawing/2014/main" id="{00000000-0008-0000-0100-00005A000000}"/>
            </a:ext>
          </a:extLst>
        </xdr:cNvPr>
        <xdr:cNvSpPr txBox="1">
          <a:spLocks noChangeArrowheads="1" noTextEdit="1"/>
        </xdr:cNvSpPr>
      </xdr:nvSpPr>
      <xdr:spPr bwMode="auto">
        <a:xfrm>
          <a:off x="3960511" y="365454"/>
          <a:ext cx="557494" cy="21063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2000kΩ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100688</xdr:colOff>
      <xdr:row>0</xdr:row>
      <xdr:rowOff>153602</xdr:rowOff>
    </xdr:from>
    <xdr:to>
      <xdr:col>4</xdr:col>
      <xdr:colOff>506696</xdr:colOff>
      <xdr:row>2</xdr:row>
      <xdr:rowOff>41474</xdr:rowOff>
    </xdr:to>
    <xdr:sp macro="" textlink="">
      <xdr:nvSpPr>
        <xdr:cNvPr id="91" name="Text Box 255">
          <a:extLst>
            <a:ext uri="{FF2B5EF4-FFF2-40B4-BE49-F238E27FC236}">
              <a16:creationId xmlns:a16="http://schemas.microsoft.com/office/drawing/2014/main" id="{00000000-0008-0000-0100-00005B000000}"/>
            </a:ext>
          </a:extLst>
        </xdr:cNvPr>
        <xdr:cNvSpPr txBox="1">
          <a:spLocks noChangeArrowheads="1"/>
        </xdr:cNvSpPr>
      </xdr:nvSpPr>
      <xdr:spPr bwMode="auto">
        <a:xfrm>
          <a:off x="4091663" y="153602"/>
          <a:ext cx="406008" cy="21172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322044</xdr:colOff>
      <xdr:row>16</xdr:row>
      <xdr:rowOff>70024</xdr:rowOff>
    </xdr:from>
    <xdr:to>
      <xdr:col>7</xdr:col>
      <xdr:colOff>835467</xdr:colOff>
      <xdr:row>18</xdr:row>
      <xdr:rowOff>8868</xdr:rowOff>
    </xdr:to>
    <xdr:sp macro="" textlink="'Variable Management'!B239">
      <xdr:nvSpPr>
        <xdr:cNvPr id="92" name="Text Box 275">
          <a:extLst>
            <a:ext uri="{FF2B5EF4-FFF2-40B4-BE49-F238E27FC236}">
              <a16:creationId xmlns:a16="http://schemas.microsoft.com/office/drawing/2014/main" id="{00000000-0008-0000-0100-00005C000000}"/>
            </a:ext>
          </a:extLst>
        </xdr:cNvPr>
        <xdr:cNvSpPr txBox="1">
          <a:spLocks noChangeArrowheads="1" noTextEdit="1"/>
        </xdr:cNvSpPr>
      </xdr:nvSpPr>
      <xdr:spPr bwMode="auto">
        <a:xfrm>
          <a:off x="7484844" y="2660824"/>
          <a:ext cx="513423" cy="262694"/>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1335973</xdr:colOff>
      <xdr:row>27</xdr:row>
      <xdr:rowOff>72440</xdr:rowOff>
    </xdr:from>
    <xdr:to>
      <xdr:col>4</xdr:col>
      <xdr:colOff>475601</xdr:colOff>
      <xdr:row>28</xdr:row>
      <xdr:rowOff>141627</xdr:rowOff>
    </xdr:to>
    <xdr:sp macro="" textlink="">
      <xdr:nvSpPr>
        <xdr:cNvPr id="94" name="Text Box 245">
          <a:extLst>
            <a:ext uri="{FF2B5EF4-FFF2-40B4-BE49-F238E27FC236}">
              <a16:creationId xmlns:a16="http://schemas.microsoft.com/office/drawing/2014/main" id="{00000000-0008-0000-0100-00005E000000}"/>
            </a:ext>
          </a:extLst>
        </xdr:cNvPr>
        <xdr:cNvSpPr txBox="1">
          <a:spLocks noChangeArrowheads="1"/>
        </xdr:cNvSpPr>
      </xdr:nvSpPr>
      <xdr:spPr bwMode="auto">
        <a:xfrm>
          <a:off x="3983923" y="4444415"/>
          <a:ext cx="482653" cy="23111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69827</xdr:colOff>
      <xdr:row>28</xdr:row>
      <xdr:rowOff>93013</xdr:rowOff>
    </xdr:from>
    <xdr:to>
      <xdr:col>4</xdr:col>
      <xdr:colOff>673233</xdr:colOff>
      <xdr:row>30</xdr:row>
      <xdr:rowOff>13199</xdr:rowOff>
    </xdr:to>
    <xdr:sp macro="" textlink="'Variable Management'!B274">
      <xdr:nvSpPr>
        <xdr:cNvPr id="95" name="Text Box 281">
          <a:extLst>
            <a:ext uri="{FF2B5EF4-FFF2-40B4-BE49-F238E27FC236}">
              <a16:creationId xmlns:a16="http://schemas.microsoft.com/office/drawing/2014/main" id="{00000000-0008-0000-0100-00005F000000}"/>
            </a:ext>
          </a:extLst>
        </xdr:cNvPr>
        <xdr:cNvSpPr txBox="1">
          <a:spLocks noChangeArrowheads="1" noTextEdit="1"/>
        </xdr:cNvSpPr>
      </xdr:nvSpPr>
      <xdr:spPr bwMode="auto">
        <a:xfrm>
          <a:off x="4060802" y="4626913"/>
          <a:ext cx="603406" cy="24403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282563</xdr:colOff>
      <xdr:row>21</xdr:row>
      <xdr:rowOff>107537</xdr:rowOff>
    </xdr:from>
    <xdr:to>
      <xdr:col>7</xdr:col>
      <xdr:colOff>205861</xdr:colOff>
      <xdr:row>23</xdr:row>
      <xdr:rowOff>81997</xdr:rowOff>
    </xdr:to>
    <xdr:sp macro="" textlink="'Variable Management'!B269">
      <xdr:nvSpPr>
        <xdr:cNvPr id="96" name="Text Box 270">
          <a:extLst>
            <a:ext uri="{FF2B5EF4-FFF2-40B4-BE49-F238E27FC236}">
              <a16:creationId xmlns:a16="http://schemas.microsoft.com/office/drawing/2014/main" id="{00000000-0008-0000-0100-000060000000}"/>
            </a:ext>
          </a:extLst>
        </xdr:cNvPr>
        <xdr:cNvSpPr txBox="1">
          <a:spLocks noChangeArrowheads="1" noTextEdit="1"/>
        </xdr:cNvSpPr>
      </xdr:nvSpPr>
      <xdr:spPr bwMode="auto">
        <a:xfrm>
          <a:off x="6797663" y="3507962"/>
          <a:ext cx="570998" cy="298310"/>
        </a:xfrm>
        <a:prstGeom prst="rect">
          <a:avLst/>
        </a:prstGeom>
        <a:noFill/>
        <a:ln w="9525">
          <a:noFill/>
          <a:miter lim="800000"/>
          <a:headEnd/>
          <a:tailEnd/>
        </a:ln>
      </xdr:spPr>
      <xdr:txBody>
        <a:bodyPr vertOverflow="clip" wrap="square" lIns="27432" tIns="22860" rIns="0" bIns="0" anchor="t" upright="1"/>
        <a:lstStyle/>
        <a:p>
          <a:pPr algn="l" rtl="0">
            <a:defRPr sz="1000"/>
          </a:pPr>
          <a:fld id="{F42946D1-8FE8-49AF-9D04-282963231811}"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339713</xdr:colOff>
      <xdr:row>20</xdr:row>
      <xdr:rowOff>57427</xdr:rowOff>
    </xdr:from>
    <xdr:to>
      <xdr:col>7</xdr:col>
      <xdr:colOff>263011</xdr:colOff>
      <xdr:row>21</xdr:row>
      <xdr:rowOff>114417</xdr:rowOff>
    </xdr:to>
    <xdr:sp macro="" textlink="'Variable Management'!A269">
      <xdr:nvSpPr>
        <xdr:cNvPr id="142" name="Text Box 270">
          <a:extLst>
            <a:ext uri="{FF2B5EF4-FFF2-40B4-BE49-F238E27FC236}">
              <a16:creationId xmlns:a16="http://schemas.microsoft.com/office/drawing/2014/main" id="{00000000-0008-0000-0100-00008E000000}"/>
            </a:ext>
          </a:extLst>
        </xdr:cNvPr>
        <xdr:cNvSpPr txBox="1">
          <a:spLocks noChangeArrowheads="1" noTextEdit="1"/>
        </xdr:cNvSpPr>
      </xdr:nvSpPr>
      <xdr:spPr bwMode="auto">
        <a:xfrm>
          <a:off x="6854813" y="3295927"/>
          <a:ext cx="570998" cy="218915"/>
        </a:xfrm>
        <a:prstGeom prst="rect">
          <a:avLst/>
        </a:prstGeom>
        <a:noFill/>
        <a:ln w="9525">
          <a:noFill/>
          <a:miter lim="800000"/>
          <a:headEnd/>
          <a:tailEnd/>
        </a:ln>
      </xdr:spPr>
      <xdr:txBody>
        <a:bodyPr vertOverflow="clip" wrap="square" lIns="27432" tIns="22860" rIns="0" bIns="0" anchor="t" upright="1"/>
        <a:lstStyle/>
        <a:p>
          <a:pPr algn="l" rtl="0">
            <a:defRPr sz="1000"/>
          </a:pPr>
          <a:fld id="{0B8DE09B-9FBA-43A6-B4AA-E7FE551AB267}"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200025</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200025</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200025</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200025</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200025</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200025</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200025</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200025</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200025</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200025</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200025</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200025</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200025</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200025</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200025</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200025</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200025</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200025</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200025</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200025</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200025</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200025</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200025</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426493</xdr:colOff>
      <xdr:row>29</xdr:row>
      <xdr:rowOff>66675</xdr:rowOff>
    </xdr:from>
    <xdr:to>
      <xdr:col>4</xdr:col>
      <xdr:colOff>896649</xdr:colOff>
      <xdr:row>31</xdr:row>
      <xdr:rowOff>7156</xdr:rowOff>
    </xdr:to>
    <xdr:sp macro="" textlink="'Variable Management'!A270">
      <xdr:nvSpPr>
        <xdr:cNvPr id="89" name="Text Box 231">
          <a:extLst>
            <a:ext uri="{FF2B5EF4-FFF2-40B4-BE49-F238E27FC236}">
              <a16:creationId xmlns:a16="http://schemas.microsoft.com/office/drawing/2014/main" id="{00000000-0008-0000-0100-000059000000}"/>
            </a:ext>
          </a:extLst>
        </xdr:cNvPr>
        <xdr:cNvSpPr txBox="1">
          <a:spLocks noChangeArrowheads="1"/>
        </xdr:cNvSpPr>
      </xdr:nvSpPr>
      <xdr:spPr bwMode="auto">
        <a:xfrm>
          <a:off x="4417468" y="4762500"/>
          <a:ext cx="470156" cy="264331"/>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Cs</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352425</xdr:colOff>
      <xdr:row>30</xdr:row>
      <xdr:rowOff>105197</xdr:rowOff>
    </xdr:from>
    <xdr:to>
      <xdr:col>4</xdr:col>
      <xdr:colOff>921109</xdr:colOff>
      <xdr:row>31</xdr:row>
      <xdr:rowOff>160892</xdr:rowOff>
    </xdr:to>
    <xdr:sp macro="" textlink="'Variable Management'!B270">
      <xdr:nvSpPr>
        <xdr:cNvPr id="93" name="Text Box 270">
          <a:extLst>
            <a:ext uri="{FF2B5EF4-FFF2-40B4-BE49-F238E27FC236}">
              <a16:creationId xmlns:a16="http://schemas.microsoft.com/office/drawing/2014/main" id="{00000000-0008-0000-0100-00005D000000}"/>
            </a:ext>
          </a:extLst>
        </xdr:cNvPr>
        <xdr:cNvSpPr txBox="1">
          <a:spLocks noChangeArrowheads="1" noTextEdit="1"/>
        </xdr:cNvSpPr>
      </xdr:nvSpPr>
      <xdr:spPr bwMode="auto">
        <a:xfrm>
          <a:off x="4343400" y="4962947"/>
          <a:ext cx="568684" cy="217620"/>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27pF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155865</xdr:colOff>
      <xdr:row>7</xdr:row>
      <xdr:rowOff>25979</xdr:rowOff>
    </xdr:from>
    <xdr:to>
      <xdr:col>8</xdr:col>
      <xdr:colOff>225139</xdr:colOff>
      <xdr:row>8</xdr:row>
      <xdr:rowOff>101694</xdr:rowOff>
    </xdr:to>
    <xdr:sp macro="" textlink="'Variable Management'!B281">
      <xdr:nvSpPr>
        <xdr:cNvPr id="97" name="Text Box 283">
          <a:extLst>
            <a:ext uri="{FF2B5EF4-FFF2-40B4-BE49-F238E27FC236}">
              <a16:creationId xmlns:a16="http://schemas.microsoft.com/office/drawing/2014/main" id="{00000000-0008-0000-0100-000061000000}"/>
            </a:ext>
          </a:extLst>
        </xdr:cNvPr>
        <xdr:cNvSpPr txBox="1">
          <a:spLocks noChangeArrowheads="1" noTextEdit="1"/>
        </xdr:cNvSpPr>
      </xdr:nvSpPr>
      <xdr:spPr bwMode="auto">
        <a:xfrm>
          <a:off x="7308274" y="1177638"/>
          <a:ext cx="1143001" cy="240238"/>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24V to 24V</a:t>
          </a:fld>
          <a:endParaRPr lang="en-US" sz="2400" b="1" i="0" strike="noStrike">
            <a:solidFill>
              <a:srgbClr val="0000FF"/>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5</xdr:col>
          <xdr:colOff>1171575</xdr:colOff>
          <xdr:row>48</xdr:row>
          <xdr:rowOff>9525</xdr:rowOff>
        </xdr:from>
        <xdr:to>
          <xdr:col>6</xdr:col>
          <xdr:colOff>638175</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1171575</xdr:colOff>
          <xdr:row>49</xdr:row>
          <xdr:rowOff>0</xdr:rowOff>
        </xdr:from>
        <xdr:to>
          <xdr:col>6</xdr:col>
          <xdr:colOff>638175</xdr:colOff>
          <xdr:row>49</xdr:row>
          <xdr:rowOff>200025</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571500</xdr:colOff>
      <xdr:row>4</xdr:row>
      <xdr:rowOff>70788</xdr:rowOff>
    </xdr:from>
    <xdr:to>
      <xdr:col>11</xdr:col>
      <xdr:colOff>470648</xdr:colOff>
      <xdr:row>29</xdr:row>
      <xdr:rowOff>1018</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1500" y="2031817"/>
          <a:ext cx="6555442" cy="4053994"/>
        </a:xfrm>
        <a:prstGeom prst="rect">
          <a:avLst/>
        </a:prstGeom>
      </xdr:spPr>
    </xdr:pic>
    <xdr:clientData/>
  </xdr:twoCellAnchor>
  <xdr:twoCellAnchor editAs="oneCell">
    <xdr:from>
      <xdr:col>0</xdr:col>
      <xdr:colOff>560294</xdr:colOff>
      <xdr:row>31</xdr:row>
      <xdr:rowOff>56030</xdr:rowOff>
    </xdr:from>
    <xdr:to>
      <xdr:col>11</xdr:col>
      <xdr:colOff>437030</xdr:colOff>
      <xdr:row>58</xdr:row>
      <xdr:rowOff>1</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6353" t="8842" r="3320" b="10752"/>
        <a:stretch/>
      </xdr:blipFill>
      <xdr:spPr>
        <a:xfrm>
          <a:off x="560294" y="6252883"/>
          <a:ext cx="6533030" cy="4381500"/>
        </a:xfrm>
        <a:prstGeom prst="rect">
          <a:avLst/>
        </a:prstGeom>
      </xdr:spPr>
    </xdr:pic>
    <xdr:clientData/>
  </xdr:twoCellAnchor>
  <xdr:twoCellAnchor editAs="oneCell">
    <xdr:from>
      <xdr:col>15</xdr:col>
      <xdr:colOff>257738</xdr:colOff>
      <xdr:row>4</xdr:row>
      <xdr:rowOff>56031</xdr:rowOff>
    </xdr:from>
    <xdr:to>
      <xdr:col>26</xdr:col>
      <xdr:colOff>572063</xdr:colOff>
      <xdr:row>27</xdr:row>
      <xdr:rowOff>144557</xdr:rowOff>
    </xdr:to>
    <xdr:pic>
      <xdr:nvPicPr>
        <xdr:cNvPr id="17" name="Picture 16">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5003" y="1647266"/>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257738</xdr:colOff>
      <xdr:row>83</xdr:row>
      <xdr:rowOff>33617</xdr:rowOff>
    </xdr:from>
    <xdr:to>
      <xdr:col>26</xdr:col>
      <xdr:colOff>560297</xdr:colOff>
      <xdr:row>106</xdr:row>
      <xdr:rowOff>112618</xdr:rowOff>
    </xdr:to>
    <xdr:pic>
      <xdr:nvPicPr>
        <xdr:cNvPr id="18" name="Picture 17">
          <a:extLst>
            <a:ext uri="{FF2B5EF4-FFF2-40B4-BE49-F238E27FC236}">
              <a16:creationId xmlns:a16="http://schemas.microsoft.com/office/drawing/2014/main" id="{00000000-0008-0000-0200-000012000000}"/>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038" r="942"/>
        <a:stretch/>
      </xdr:blipFill>
      <xdr:spPr bwMode="auto">
        <a:xfrm>
          <a:off x="9525003" y="14522823"/>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257738</xdr:colOff>
      <xdr:row>30</xdr:row>
      <xdr:rowOff>67238</xdr:rowOff>
    </xdr:from>
    <xdr:to>
      <xdr:col>26</xdr:col>
      <xdr:colOff>572063</xdr:colOff>
      <xdr:row>53</xdr:row>
      <xdr:rowOff>108140</xdr:rowOff>
    </xdr:to>
    <xdr:pic>
      <xdr:nvPicPr>
        <xdr:cNvPr id="19" name="Picture 18">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3" y="5939120"/>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257738</xdr:colOff>
      <xdr:row>56</xdr:row>
      <xdr:rowOff>30819</xdr:rowOff>
    </xdr:from>
    <xdr:to>
      <xdr:col>26</xdr:col>
      <xdr:colOff>572063</xdr:colOff>
      <xdr:row>80</xdr:row>
      <xdr:rowOff>34741</xdr:rowOff>
    </xdr:to>
    <xdr:pic>
      <xdr:nvPicPr>
        <xdr:cNvPr id="20" name="Picture 19">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25003" y="10183348"/>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219075</xdr:colOff>
          <xdr:row>10</xdr:row>
          <xdr:rowOff>114300</xdr:rowOff>
        </xdr:from>
        <xdr:to>
          <xdr:col>16</xdr:col>
          <xdr:colOff>28575</xdr:colOff>
          <xdr:row>31</xdr:row>
          <xdr:rowOff>123825</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3</xdr:row>
      <xdr:rowOff>161924</xdr:rowOff>
    </xdr:from>
    <xdr:to>
      <xdr:col>1</xdr:col>
      <xdr:colOff>8915399</xdr:colOff>
      <xdr:row>5</xdr:row>
      <xdr:rowOff>1127</xdr:rowOff>
    </xdr:to>
    <xdr:pic>
      <xdr:nvPicPr>
        <xdr:cNvPr id="5" name="Picture 4">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6</xdr:row>
      <xdr:rowOff>438149</xdr:rowOff>
    </xdr:from>
    <xdr:to>
      <xdr:col>1</xdr:col>
      <xdr:colOff>8915399</xdr:colOff>
      <xdr:row>8</xdr:row>
      <xdr:rowOff>1127</xdr:rowOff>
    </xdr:to>
    <xdr:pic>
      <xdr:nvPicPr>
        <xdr:cNvPr id="8" name="Picture 7">
          <a:extLst>
            <a:ext uri="{FF2B5EF4-FFF2-40B4-BE49-F238E27FC236}">
              <a16:creationId xmlns:a16="http://schemas.microsoft.com/office/drawing/2014/main" id="{00000000-0008-0000-06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304800</xdr:colOff>
      <xdr:row>40</xdr:row>
      <xdr:rowOff>104775</xdr:rowOff>
    </xdr:from>
    <xdr:to>
      <xdr:col>19</xdr:col>
      <xdr:colOff>247650</xdr:colOff>
      <xdr:row>69</xdr:row>
      <xdr:rowOff>123825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295275</xdr:colOff>
      <xdr:row>11</xdr:row>
      <xdr:rowOff>57150</xdr:rowOff>
    </xdr:from>
    <xdr:to>
      <xdr:col>19</xdr:col>
      <xdr:colOff>228600</xdr:colOff>
      <xdr:row>40</xdr:row>
      <xdr:rowOff>85725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thegartyuser/National/LM5k%20Family/LM5175/Design%20Tool%20Calculator/LM5175%20Buck-Boost%20Quickstart%20Tool%20--%20r11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sign Converter"/>
      <sheetName val="BOM &amp; Schematic"/>
      <sheetName val="EVMs"/>
      <sheetName val="Variable Management"/>
      <sheetName val="Schematic Management"/>
      <sheetName val="Efficiency Plot Management"/>
      <sheetName val="Efficiency vs VIN Calculations"/>
      <sheetName val="Efficiency vs Load Calculations"/>
      <sheetName val="Stability Calculations"/>
      <sheetName val="Standard Value Calculator"/>
      <sheetName val="Snubber"/>
      <sheetName val="Parallel Output Caps"/>
      <sheetName val="LM5175 Buck-Boost Quickstart To"/>
    </sheetNames>
    <sheetDataSet>
      <sheetData sheetId="0" refreshError="1"/>
      <sheetData sheetId="1" refreshError="1"/>
      <sheetData sheetId="2" refreshError="1"/>
      <sheetData sheetId="3">
        <row r="7">
          <cell r="B7">
            <v>6</v>
          </cell>
        </row>
        <row r="8">
          <cell r="B8">
            <v>14</v>
          </cell>
        </row>
        <row r="12">
          <cell r="B12">
            <v>12</v>
          </cell>
        </row>
        <row r="13">
          <cell r="B13">
            <v>6</v>
          </cell>
        </row>
        <row r="22">
          <cell r="B22">
            <v>400000</v>
          </cell>
        </row>
        <row r="24">
          <cell r="B24">
            <v>0.8</v>
          </cell>
        </row>
        <row r="25">
          <cell r="B25">
            <v>62162.16216216216</v>
          </cell>
        </row>
        <row r="55">
          <cell r="B55">
            <v>0.2857142857142857</v>
          </cell>
        </row>
        <row r="69">
          <cell r="B69">
            <v>6.0000000000000001E-3</v>
          </cell>
        </row>
        <row r="71">
          <cell r="B71">
            <v>0.86013388406209934</v>
          </cell>
        </row>
        <row r="72">
          <cell r="B72">
            <v>0.13986611593790066</v>
          </cell>
        </row>
        <row r="78">
          <cell r="B78">
            <v>0.12</v>
          </cell>
        </row>
        <row r="158">
          <cell r="B158">
            <v>0</v>
          </cell>
        </row>
        <row r="169">
          <cell r="B169">
            <v>6.3746065057712495E-5</v>
          </cell>
        </row>
        <row r="171">
          <cell r="B171">
            <v>1E-4</v>
          </cell>
        </row>
        <row r="175">
          <cell r="B175">
            <v>2E-3</v>
          </cell>
        </row>
        <row r="176">
          <cell r="B176">
            <v>8.8495278069254987E-2</v>
          </cell>
        </row>
        <row r="185">
          <cell r="B185">
            <v>0.18</v>
          </cell>
        </row>
        <row r="191">
          <cell r="B191">
            <v>3.3000000000000003E-5</v>
          </cell>
        </row>
        <row r="194">
          <cell r="B194">
            <v>7.1631467874362633E-3</v>
          </cell>
        </row>
        <row r="196">
          <cell r="B196">
            <v>2E-3</v>
          </cell>
        </row>
        <row r="200">
          <cell r="B200">
            <v>0.13216554873697731</v>
          </cell>
        </row>
        <row r="205">
          <cell r="B205">
            <v>8.0000000000000002E-3</v>
          </cell>
        </row>
        <row r="207">
          <cell r="B207">
            <v>4.9999999999999998E-8</v>
          </cell>
        </row>
        <row r="208">
          <cell r="B208">
            <v>4.6999999999999997E-8</v>
          </cell>
        </row>
        <row r="212">
          <cell r="B212">
            <v>4.5</v>
          </cell>
        </row>
        <row r="214">
          <cell r="B214">
            <v>200</v>
          </cell>
        </row>
        <row r="215">
          <cell r="B215">
            <v>67.250821467688937</v>
          </cell>
        </row>
        <row r="220">
          <cell r="B220">
            <v>1.228</v>
          </cell>
        </row>
        <row r="221">
          <cell r="B221">
            <v>1.228</v>
          </cell>
        </row>
        <row r="223">
          <cell r="B223">
            <v>1.9E-3</v>
          </cell>
        </row>
        <row r="224">
          <cell r="B224">
            <v>5.4000000000000003E-3</v>
          </cell>
        </row>
        <row r="232">
          <cell r="B232">
            <v>1000</v>
          </cell>
        </row>
        <row r="233">
          <cell r="B233">
            <v>4.1666666666666663E-8</v>
          </cell>
        </row>
        <row r="238">
          <cell r="B238">
            <v>3.1415926500000002</v>
          </cell>
        </row>
        <row r="322">
          <cell r="B322">
            <v>0.3533676821707753</v>
          </cell>
        </row>
        <row r="343">
          <cell r="B343">
            <v>2</v>
          </cell>
        </row>
        <row r="350">
          <cell r="B350">
            <v>0.5304549448055903</v>
          </cell>
        </row>
        <row r="351">
          <cell r="B351">
            <v>678794.46103719797</v>
          </cell>
        </row>
        <row r="352">
          <cell r="B352">
            <v>795774.71636878187</v>
          </cell>
        </row>
        <row r="356">
          <cell r="B356">
            <v>9000</v>
          </cell>
        </row>
        <row r="357">
          <cell r="B357">
            <v>2337.6417750000005</v>
          </cell>
        </row>
        <row r="358">
          <cell r="B358">
            <v>1.512967707464325E-8</v>
          </cell>
        </row>
        <row r="359">
          <cell r="B359">
            <v>-1.5507080848604372E-11</v>
          </cell>
        </row>
        <row r="362">
          <cell r="B362">
            <v>2320</v>
          </cell>
        </row>
        <row r="363">
          <cell r="B363">
            <v>1.5000000000000002E-8</v>
          </cell>
        </row>
        <row r="364">
          <cell r="B364">
            <v>0</v>
          </cell>
        </row>
        <row r="369">
          <cell r="B369">
            <v>4573.4179101654126</v>
          </cell>
        </row>
        <row r="374">
          <cell r="B374">
            <v>7150</v>
          </cell>
        </row>
        <row r="387">
          <cell r="B387">
            <v>25</v>
          </cell>
        </row>
        <row r="389">
          <cell r="B389">
            <v>4.0000000000000001E-3</v>
          </cell>
        </row>
        <row r="390">
          <cell r="B390">
            <v>20</v>
          </cell>
        </row>
        <row r="393">
          <cell r="B393">
            <v>7.5</v>
          </cell>
        </row>
        <row r="395">
          <cell r="B395">
            <v>1.5</v>
          </cell>
        </row>
        <row r="396">
          <cell r="B396">
            <v>1</v>
          </cell>
        </row>
        <row r="398">
          <cell r="B398">
            <v>1.5</v>
          </cell>
        </row>
        <row r="399">
          <cell r="B399">
            <v>1</v>
          </cell>
        </row>
        <row r="401">
          <cell r="B401">
            <v>4.9999999999999998E-8</v>
          </cell>
        </row>
        <row r="403">
          <cell r="B403">
            <v>3.0000000000000001E-3</v>
          </cell>
        </row>
        <row r="407">
          <cell r="B407">
            <v>4.0000000000000001E-3</v>
          </cell>
        </row>
        <row r="424">
          <cell r="B424">
            <v>4.0000000000000001E-3</v>
          </cell>
        </row>
        <row r="441">
          <cell r="B441">
            <v>0</v>
          </cell>
        </row>
        <row r="444">
          <cell r="B444">
            <v>30.5</v>
          </cell>
        </row>
      </sheetData>
      <sheetData sheetId="4" refreshError="1"/>
      <sheetData sheetId="5">
        <row r="2">
          <cell r="A2" t="str">
            <v>EFF_IOUT</v>
          </cell>
        </row>
      </sheetData>
      <sheetData sheetId="6" refreshError="1"/>
      <sheetData sheetId="7" refreshError="1"/>
      <sheetData sheetId="8">
        <row r="3">
          <cell r="K3">
            <v>795774.71636878187</v>
          </cell>
        </row>
      </sheetData>
      <sheetData sheetId="9">
        <row r="21">
          <cell r="O21">
            <v>0</v>
          </cell>
        </row>
      </sheetData>
      <sheetData sheetId="10" refreshError="1"/>
      <sheetData sheetId="11" refreshError="1"/>
      <sheetData sheetId="1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rinterSettings" Target="../printerSettings/printerSettings1.bin"/><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 Type="http://schemas.openxmlformats.org/officeDocument/2006/relationships/vmlDrawing" Target="../drawings/vmlDrawing3.v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2" Type="http://schemas.openxmlformats.org/officeDocument/2006/relationships/drawing" Target="../drawings/drawing3.x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6.emf"/><Relationship Id="rId4" Type="http://schemas.openxmlformats.org/officeDocument/2006/relationships/oleObject" Target="../embeddings/Microsoft_Visio_2003-2010___.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927"/>
  <sheetViews>
    <sheetView tabSelected="1" zoomScale="70" zoomScaleNormal="70" zoomScaleSheetLayoutView="100" workbookViewId="0">
      <selection activeCell="E32" sqref="E32"/>
    </sheetView>
  </sheetViews>
  <sheetFormatPr defaultColWidth="9.140625" defaultRowHeight="12.75" x14ac:dyDescent="0.2"/>
  <cols>
    <col min="1" max="1" width="8.28515625" style="322" customWidth="1"/>
    <col min="2" max="2" width="8.28515625" style="147" customWidth="1"/>
    <col min="3" max="3" width="14.5703125" style="147" customWidth="1"/>
    <col min="4" max="4" width="8" style="147" customWidth="1"/>
    <col min="5" max="5" width="7" style="147" customWidth="1"/>
    <col min="6" max="6" width="8.28515625" style="147" customWidth="1"/>
    <col min="7" max="7" width="9.140625" style="147" customWidth="1"/>
    <col min="8" max="8" width="11.85546875" style="147" customWidth="1"/>
    <col min="9" max="9" width="9.140625" style="147"/>
    <col min="10" max="10" width="12.42578125" style="147" bestFit="1" customWidth="1"/>
    <col min="11" max="11" width="9.140625" style="147"/>
    <col min="12" max="12" width="12.42578125" style="147" bestFit="1" customWidth="1"/>
    <col min="13" max="15" width="9.140625" style="147"/>
    <col min="16" max="16" width="10.140625" style="147" customWidth="1"/>
    <col min="17" max="17" width="41.85546875" style="147" customWidth="1"/>
    <col min="18" max="18" width="3.140625" style="147" customWidth="1"/>
    <col min="19" max="19" width="10" style="147" bestFit="1" customWidth="1"/>
    <col min="20" max="16384" width="9.140625" style="147"/>
  </cols>
  <sheetData>
    <row r="1" spans="1:19" ht="50.25" customHeight="1" x14ac:dyDescent="0.2">
      <c r="A1" s="569" t="s">
        <v>751</v>
      </c>
      <c r="B1" s="570"/>
      <c r="C1" s="570"/>
      <c r="D1" s="570"/>
      <c r="E1" s="570"/>
      <c r="F1" s="570"/>
      <c r="G1" s="570"/>
      <c r="H1" s="570"/>
      <c r="I1" s="570"/>
      <c r="J1" s="570"/>
      <c r="K1" s="570"/>
      <c r="L1" s="570"/>
      <c r="M1" s="570"/>
      <c r="N1" s="570"/>
      <c r="O1" s="570"/>
      <c r="P1" s="570"/>
      <c r="Q1" s="570"/>
      <c r="R1" s="418"/>
    </row>
    <row r="2" spans="1:19" ht="13.5" customHeight="1" x14ac:dyDescent="0.45">
      <c r="A2" s="556"/>
      <c r="B2" s="422"/>
      <c r="C2" s="422"/>
      <c r="D2" s="422"/>
      <c r="E2" s="422"/>
      <c r="F2" s="422"/>
      <c r="G2" s="422"/>
      <c r="H2" s="422"/>
      <c r="I2" s="422"/>
      <c r="J2" s="422"/>
      <c r="K2" s="422"/>
      <c r="L2" s="422"/>
      <c r="M2" s="545"/>
      <c r="N2" s="550"/>
      <c r="O2" s="551"/>
      <c r="P2" s="550"/>
      <c r="Q2" s="550"/>
      <c r="R2" s="418"/>
    </row>
    <row r="3" spans="1:19" ht="14.25" customHeight="1" x14ac:dyDescent="0.45">
      <c r="A3" s="432" t="s">
        <v>478</v>
      </c>
      <c r="B3" s="423"/>
      <c r="C3" s="433" t="s">
        <v>479</v>
      </c>
      <c r="D3" s="424"/>
      <c r="E3" s="212"/>
      <c r="F3" s="426" t="s">
        <v>285</v>
      </c>
      <c r="G3" s="425"/>
      <c r="H3" s="422"/>
      <c r="I3" s="422"/>
      <c r="J3" s="425"/>
      <c r="K3" s="427"/>
      <c r="L3" s="428"/>
      <c r="M3" s="546"/>
      <c r="N3" s="554"/>
      <c r="O3" s="568" t="s">
        <v>117</v>
      </c>
      <c r="P3" s="568"/>
      <c r="Q3" s="418" t="s">
        <v>320</v>
      </c>
      <c r="R3" s="418"/>
    </row>
    <row r="4" spans="1:19" ht="13.5" customHeight="1" thickBot="1" x14ac:dyDescent="0.35">
      <c r="A4" s="429"/>
      <c r="B4" s="430"/>
      <c r="C4" s="431"/>
      <c r="D4" s="431"/>
      <c r="E4" s="431"/>
      <c r="F4" s="431"/>
      <c r="G4" s="431"/>
      <c r="H4" s="431"/>
      <c r="I4" s="431"/>
      <c r="J4" s="431"/>
      <c r="K4" s="431"/>
      <c r="L4" s="431"/>
      <c r="M4" s="547"/>
      <c r="N4" s="552"/>
      <c r="O4" s="552"/>
      <c r="P4" s="552"/>
      <c r="Q4" s="553"/>
      <c r="R4" s="418"/>
    </row>
    <row r="5" spans="1:19" ht="20.100000000000001" customHeight="1" thickBot="1" x14ac:dyDescent="0.35">
      <c r="A5" s="253" t="s">
        <v>441</v>
      </c>
      <c r="B5" s="210"/>
      <c r="C5" s="148"/>
      <c r="D5" s="148"/>
      <c r="E5" s="150"/>
      <c r="F5" s="148"/>
      <c r="G5" s="191"/>
      <c r="H5" s="151"/>
      <c r="I5" s="151"/>
      <c r="J5" s="151"/>
      <c r="K5" s="151"/>
      <c r="L5" s="151"/>
      <c r="M5" s="548"/>
      <c r="N5" s="548"/>
      <c r="O5" s="548"/>
      <c r="P5" s="548"/>
      <c r="Q5" s="549"/>
      <c r="R5" s="418"/>
    </row>
    <row r="6" spans="1:19" ht="14.1" customHeight="1" x14ac:dyDescent="0.25">
      <c r="A6" s="316"/>
      <c r="B6" s="263"/>
      <c r="C6" s="264"/>
      <c r="D6" s="265" t="s">
        <v>572</v>
      </c>
      <c r="E6" s="266">
        <v>24</v>
      </c>
      <c r="F6" s="267" t="s">
        <v>0</v>
      </c>
      <c r="G6" s="221"/>
      <c r="H6" s="219"/>
      <c r="I6" s="151"/>
      <c r="J6" s="151"/>
      <c r="K6" s="151"/>
      <c r="L6" s="151"/>
      <c r="M6" s="151"/>
      <c r="N6" s="151"/>
      <c r="O6" s="151"/>
      <c r="P6" s="151"/>
      <c r="Q6" s="190"/>
      <c r="R6" s="418"/>
    </row>
    <row r="7" spans="1:19" ht="14.1" customHeight="1" x14ac:dyDescent="0.25">
      <c r="A7" s="435"/>
      <c r="B7" s="219"/>
      <c r="C7" s="216"/>
      <c r="D7" s="258" t="s">
        <v>573</v>
      </c>
      <c r="E7" s="220">
        <v>24</v>
      </c>
      <c r="F7" s="268" t="s">
        <v>0</v>
      </c>
      <c r="G7" s="221"/>
      <c r="H7" s="219"/>
      <c r="I7" s="151"/>
      <c r="J7" s="151"/>
      <c r="K7" s="151"/>
      <c r="L7" s="151"/>
      <c r="M7" s="151"/>
      <c r="N7" s="151"/>
      <c r="O7" s="151"/>
      <c r="P7" s="151"/>
      <c r="Q7" s="190"/>
      <c r="R7" s="418"/>
    </row>
    <row r="8" spans="1:19" ht="14.1" customHeight="1" x14ac:dyDescent="0.25">
      <c r="A8" s="435"/>
      <c r="B8" s="219"/>
      <c r="C8" s="216"/>
      <c r="D8" s="258" t="s">
        <v>574</v>
      </c>
      <c r="E8" s="220">
        <v>24</v>
      </c>
      <c r="F8" s="268" t="s">
        <v>0</v>
      </c>
      <c r="G8" s="221"/>
      <c r="H8" s="219"/>
      <c r="I8" s="151"/>
      <c r="J8" s="151"/>
      <c r="K8" s="151"/>
      <c r="L8" s="151"/>
      <c r="M8" s="151"/>
      <c r="N8" s="151"/>
      <c r="O8" s="151"/>
      <c r="P8" s="151"/>
      <c r="Q8" s="190"/>
      <c r="R8" s="418"/>
    </row>
    <row r="9" spans="1:19" ht="14.1" customHeight="1" x14ac:dyDescent="0.25">
      <c r="A9" s="218"/>
      <c r="B9" s="219"/>
      <c r="C9" s="216"/>
      <c r="D9" s="258" t="s">
        <v>567</v>
      </c>
      <c r="E9" s="220">
        <v>11.8</v>
      </c>
      <c r="F9" s="268" t="s">
        <v>0</v>
      </c>
      <c r="G9" s="221"/>
      <c r="H9" s="219"/>
      <c r="I9" s="151"/>
      <c r="J9" s="151"/>
      <c r="K9" s="151"/>
      <c r="L9" s="151"/>
      <c r="M9" s="151"/>
      <c r="N9" s="151"/>
      <c r="O9" s="151"/>
      <c r="P9" s="151"/>
      <c r="Q9" s="190"/>
      <c r="R9" s="418"/>
      <c r="S9" s="146"/>
    </row>
    <row r="10" spans="1:19" ht="14.1" customHeight="1" x14ac:dyDescent="0.25">
      <c r="A10" s="218"/>
      <c r="B10" s="219"/>
      <c r="C10" s="216"/>
      <c r="D10" s="258" t="s">
        <v>566</v>
      </c>
      <c r="E10" s="220">
        <v>20</v>
      </c>
      <c r="F10" s="268" t="s">
        <v>2</v>
      </c>
      <c r="G10" s="221"/>
      <c r="H10" s="219"/>
      <c r="I10" s="151"/>
      <c r="J10" s="151"/>
      <c r="K10" s="151"/>
      <c r="L10" s="151"/>
      <c r="M10" s="151"/>
      <c r="N10" s="151"/>
      <c r="O10" s="151"/>
      <c r="P10" s="151"/>
      <c r="Q10" s="190"/>
      <c r="R10" s="418"/>
      <c r="S10" s="146"/>
    </row>
    <row r="11" spans="1:19" ht="14.1" customHeight="1" x14ac:dyDescent="0.25">
      <c r="A11" s="218"/>
      <c r="B11" s="219"/>
      <c r="C11" s="216"/>
      <c r="D11" s="258" t="s">
        <v>625</v>
      </c>
      <c r="E11" s="222">
        <v>500</v>
      </c>
      <c r="F11" s="268" t="s">
        <v>3</v>
      </c>
      <c r="G11" s="221"/>
      <c r="H11" s="219"/>
      <c r="I11" s="151"/>
      <c r="J11" s="151"/>
      <c r="K11" s="151"/>
      <c r="L11" s="151"/>
      <c r="M11" s="151"/>
      <c r="N11" s="151"/>
      <c r="O11" s="151"/>
      <c r="P11" s="151"/>
      <c r="Q11" s="190"/>
      <c r="R11" s="418"/>
    </row>
    <row r="12" spans="1:19" ht="14.1" customHeight="1" x14ac:dyDescent="0.25">
      <c r="A12" s="218"/>
      <c r="B12" s="219"/>
      <c r="C12" s="216"/>
      <c r="D12" s="258" t="s">
        <v>626</v>
      </c>
      <c r="E12" s="222">
        <v>500</v>
      </c>
      <c r="F12" s="268" t="s">
        <v>3</v>
      </c>
      <c r="G12" s="223"/>
      <c r="H12" s="219"/>
      <c r="I12" s="151"/>
      <c r="J12" s="151"/>
      <c r="K12" s="151"/>
      <c r="L12" s="151"/>
      <c r="M12" s="151"/>
      <c r="N12" s="151"/>
      <c r="O12" s="151"/>
      <c r="P12" s="151"/>
      <c r="Q12" s="190"/>
      <c r="R12" s="418"/>
    </row>
    <row r="13" spans="1:19" ht="15.95" customHeight="1" thickBot="1" x14ac:dyDescent="0.35">
      <c r="A13" s="269"/>
      <c r="B13" s="270"/>
      <c r="C13" s="217"/>
      <c r="D13" s="217" t="s">
        <v>569</v>
      </c>
      <c r="E13" s="284">
        <f>'Standard Value Calculator'!S4/1000</f>
        <v>20</v>
      </c>
      <c r="F13" s="271" t="s">
        <v>116</v>
      </c>
      <c r="G13" s="221"/>
      <c r="H13" s="219"/>
      <c r="I13" s="151"/>
      <c r="J13" s="151"/>
      <c r="K13" s="151"/>
      <c r="L13" s="151"/>
      <c r="M13" s="151"/>
      <c r="N13" s="151"/>
      <c r="O13" s="151"/>
      <c r="P13" s="151"/>
      <c r="Q13" s="190"/>
      <c r="R13" s="418"/>
    </row>
    <row r="14" spans="1:19" ht="14.1" customHeight="1" x14ac:dyDescent="0.2">
      <c r="A14" s="218"/>
      <c r="B14" s="219"/>
      <c r="C14" s="219"/>
      <c r="D14" s="224"/>
      <c r="E14" s="225"/>
      <c r="F14" s="219"/>
      <c r="G14" s="221"/>
      <c r="H14" s="219"/>
      <c r="I14" s="151"/>
      <c r="J14" s="151"/>
      <c r="K14" s="151"/>
      <c r="L14" s="151"/>
      <c r="M14" s="151"/>
      <c r="N14" s="151"/>
      <c r="O14" s="151"/>
      <c r="P14" s="151"/>
      <c r="Q14" s="190"/>
      <c r="R14" s="418"/>
    </row>
    <row r="15" spans="1:19" ht="20.100000000000001" customHeight="1" thickBot="1" x14ac:dyDescent="0.35">
      <c r="A15" s="253" t="s">
        <v>430</v>
      </c>
      <c r="B15" s="226"/>
      <c r="C15" s="227"/>
      <c r="D15" s="227"/>
      <c r="E15" s="228"/>
      <c r="F15" s="227"/>
      <c r="G15" s="221"/>
      <c r="H15" s="219"/>
      <c r="I15" s="151"/>
      <c r="J15" s="151"/>
      <c r="K15" s="151"/>
      <c r="L15" s="151"/>
      <c r="M15" s="151"/>
      <c r="N15" s="151"/>
      <c r="O15" s="151"/>
      <c r="P15" s="151"/>
      <c r="Q15" s="190"/>
      <c r="R15" s="418"/>
    </row>
    <row r="16" spans="1:19" ht="14.1" customHeight="1" x14ac:dyDescent="0.2">
      <c r="A16" s="316"/>
      <c r="B16" s="263"/>
      <c r="C16" s="264"/>
      <c r="D16" s="264" t="s">
        <v>461</v>
      </c>
      <c r="E16" s="523">
        <f>Lout1*1000000</f>
        <v>1.8013013013013013</v>
      </c>
      <c r="F16" s="272" t="s">
        <v>413</v>
      </c>
      <c r="G16" s="221"/>
      <c r="H16" s="219"/>
      <c r="I16" s="151"/>
      <c r="J16" s="151"/>
      <c r="K16" s="151"/>
      <c r="L16" s="151"/>
      <c r="M16" s="151"/>
      <c r="N16" s="151"/>
      <c r="O16" s="151"/>
      <c r="P16" s="151"/>
      <c r="Q16" s="190"/>
      <c r="R16" s="418"/>
    </row>
    <row r="17" spans="1:19" ht="14.1" customHeight="1" x14ac:dyDescent="0.25">
      <c r="A17" s="218"/>
      <c r="B17" s="219"/>
      <c r="C17" s="216"/>
      <c r="D17" s="258" t="s">
        <v>568</v>
      </c>
      <c r="E17" s="220">
        <v>1.5</v>
      </c>
      <c r="F17" s="268" t="s">
        <v>413</v>
      </c>
      <c r="G17" s="221"/>
      <c r="H17" s="219"/>
      <c r="I17" s="151"/>
      <c r="J17" s="151"/>
      <c r="K17" s="151"/>
      <c r="L17" s="151"/>
      <c r="M17" s="151"/>
      <c r="N17" s="151"/>
      <c r="O17" s="151"/>
      <c r="P17" s="151"/>
      <c r="Q17" s="190"/>
      <c r="R17" s="418"/>
    </row>
    <row r="18" spans="1:19" ht="14.1" customHeight="1" x14ac:dyDescent="0.2">
      <c r="A18" s="218"/>
      <c r="B18" s="219"/>
      <c r="C18" s="216"/>
      <c r="D18" s="258" t="s">
        <v>462</v>
      </c>
      <c r="E18" s="220">
        <v>5</v>
      </c>
      <c r="F18" s="268" t="s">
        <v>115</v>
      </c>
      <c r="G18" s="221"/>
      <c r="H18" s="219"/>
      <c r="I18" s="151"/>
      <c r="J18" s="151"/>
      <c r="K18" s="151"/>
      <c r="L18" s="151"/>
      <c r="M18" s="151"/>
      <c r="N18" s="151"/>
      <c r="O18" s="151"/>
      <c r="P18" s="151"/>
      <c r="Q18" s="190"/>
      <c r="R18" s="418"/>
    </row>
    <row r="19" spans="1:19" ht="15" customHeight="1" x14ac:dyDescent="0.3">
      <c r="A19" s="218"/>
      <c r="B19" s="219"/>
      <c r="C19" s="216"/>
      <c r="D19" s="434" t="s">
        <v>571</v>
      </c>
      <c r="E19" s="255">
        <f>Iripple1</f>
        <v>8.0899555555555551</v>
      </c>
      <c r="F19" s="273" t="s">
        <v>446</v>
      </c>
      <c r="G19" s="221"/>
      <c r="H19" s="219"/>
      <c r="I19" s="151"/>
      <c r="J19" s="151"/>
      <c r="K19" s="151"/>
      <c r="L19" s="151"/>
      <c r="M19" s="151"/>
      <c r="N19" s="151"/>
      <c r="O19" s="151"/>
      <c r="P19" s="151"/>
      <c r="Q19" s="190"/>
      <c r="R19" s="418"/>
    </row>
    <row r="20" spans="1:19" ht="15" customHeight="1" thickBot="1" x14ac:dyDescent="0.35">
      <c r="A20" s="269"/>
      <c r="B20" s="270"/>
      <c r="C20" s="217"/>
      <c r="D20" s="217" t="s">
        <v>548</v>
      </c>
      <c r="E20" s="274">
        <f>Iripple1/Iout*100</f>
        <v>40.449777777777776</v>
      </c>
      <c r="F20" s="271" t="s">
        <v>300</v>
      </c>
      <c r="G20" s="221"/>
      <c r="H20" s="219"/>
      <c r="I20" s="151"/>
      <c r="J20" s="151"/>
      <c r="K20" s="151"/>
      <c r="L20" s="151"/>
      <c r="M20" s="151"/>
      <c r="N20" s="151"/>
      <c r="O20" s="151"/>
      <c r="P20" s="151"/>
      <c r="Q20" s="190"/>
      <c r="R20" s="418"/>
    </row>
    <row r="21" spans="1:19" ht="14.1" customHeight="1" x14ac:dyDescent="0.2">
      <c r="A21" s="218"/>
      <c r="B21" s="219"/>
      <c r="C21" s="219"/>
      <c r="D21" s="219"/>
      <c r="E21" s="219"/>
      <c r="F21" s="219"/>
      <c r="G21" s="221"/>
      <c r="H21" s="219"/>
      <c r="I21" s="151"/>
      <c r="J21" s="151"/>
      <c r="K21" s="151"/>
      <c r="L21" s="151"/>
      <c r="M21" s="151"/>
      <c r="N21" s="151"/>
      <c r="O21" s="151"/>
      <c r="P21" s="151"/>
      <c r="Q21" s="190"/>
      <c r="R21" s="418"/>
    </row>
    <row r="22" spans="1:19" ht="20.100000000000001" customHeight="1" thickBot="1" x14ac:dyDescent="0.4">
      <c r="A22" s="252" t="s">
        <v>565</v>
      </c>
      <c r="B22" s="229"/>
      <c r="C22" s="219"/>
      <c r="D22" s="219"/>
      <c r="E22" s="219"/>
      <c r="F22" s="219"/>
      <c r="G22" s="221"/>
      <c r="H22" s="219"/>
      <c r="I22" s="151"/>
      <c r="J22" s="151"/>
      <c r="K22" s="151"/>
      <c r="L22" s="151"/>
      <c r="M22" s="151"/>
      <c r="N22" s="151"/>
      <c r="O22" s="151"/>
      <c r="P22" s="151"/>
      <c r="Q22" s="190"/>
      <c r="R22" s="418"/>
    </row>
    <row r="23" spans="1:19" ht="15" customHeight="1" x14ac:dyDescent="0.25">
      <c r="A23" s="453"/>
      <c r="B23" s="324"/>
      <c r="C23" s="454"/>
      <c r="D23" s="458" t="s">
        <v>605</v>
      </c>
      <c r="E23" s="460">
        <v>2</v>
      </c>
      <c r="F23" s="459" t="s">
        <v>115</v>
      </c>
      <c r="G23" s="221"/>
      <c r="H23" s="219"/>
      <c r="I23" s="151"/>
      <c r="J23" s="151"/>
      <c r="K23" s="151"/>
      <c r="L23" s="151"/>
      <c r="M23" s="151"/>
      <c r="N23" s="151"/>
      <c r="O23" s="151"/>
      <c r="P23" s="151"/>
      <c r="Q23" s="190"/>
      <c r="R23" s="418"/>
      <c r="S23" s="147" t="s">
        <v>384</v>
      </c>
    </row>
    <row r="24" spans="1:19" ht="15" customHeight="1" x14ac:dyDescent="0.2">
      <c r="A24" s="218"/>
      <c r="B24" s="219"/>
      <c r="C24" s="219"/>
      <c r="D24" s="258" t="s">
        <v>463</v>
      </c>
      <c r="E24" s="220">
        <v>25</v>
      </c>
      <c r="F24" s="268" t="s">
        <v>2</v>
      </c>
      <c r="G24" s="221"/>
      <c r="H24" s="219"/>
      <c r="I24" s="151"/>
      <c r="J24" s="151"/>
      <c r="K24" s="151"/>
      <c r="L24" s="151"/>
      <c r="M24" s="151"/>
      <c r="N24" s="151"/>
      <c r="O24" s="151"/>
      <c r="P24" s="151"/>
      <c r="Q24" s="190"/>
      <c r="R24" s="418"/>
    </row>
    <row r="25" spans="1:19" ht="15" customHeight="1" x14ac:dyDescent="0.3">
      <c r="A25" s="219"/>
      <c r="B25" s="219"/>
      <c r="C25" s="219"/>
      <c r="D25" s="216" t="s">
        <v>589</v>
      </c>
      <c r="E25" s="256">
        <f>IF(RDSON_sense=1, Rilim_Rdson, Rilim_shunt)</f>
        <v>187</v>
      </c>
      <c r="F25" s="273" t="s">
        <v>274</v>
      </c>
      <c r="G25" s="223"/>
      <c r="H25" s="219"/>
      <c r="I25" s="151"/>
      <c r="J25" s="151"/>
      <c r="K25" s="151"/>
      <c r="L25" s="151"/>
      <c r="M25" s="151"/>
      <c r="N25" s="151"/>
      <c r="O25" s="151"/>
      <c r="P25" s="151"/>
      <c r="Q25" s="190"/>
      <c r="R25" s="418"/>
    </row>
    <row r="26" spans="1:19" ht="14.1" customHeight="1" x14ac:dyDescent="0.3">
      <c r="A26" s="218"/>
      <c r="B26" s="219"/>
      <c r="C26" s="219"/>
      <c r="D26" s="216" t="s">
        <v>570</v>
      </c>
      <c r="E26" s="255">
        <f>'Variable Management'!B51</f>
        <v>34.799999999999997</v>
      </c>
      <c r="F26" s="273" t="s">
        <v>2</v>
      </c>
      <c r="G26" s="219"/>
      <c r="H26" s="219"/>
      <c r="I26" s="151"/>
      <c r="J26" s="151"/>
      <c r="K26" s="151"/>
      <c r="L26" s="151"/>
      <c r="M26" s="151"/>
      <c r="N26" s="151"/>
      <c r="O26" s="151"/>
      <c r="P26" s="151"/>
      <c r="Q26" s="190"/>
      <c r="R26" s="418"/>
    </row>
    <row r="27" spans="1:19" ht="14.1" customHeight="1" thickBot="1" x14ac:dyDescent="0.35">
      <c r="A27" s="269"/>
      <c r="B27" s="270"/>
      <c r="C27" s="270"/>
      <c r="D27" s="455" t="s">
        <v>597</v>
      </c>
      <c r="E27" s="456">
        <f>_Rs3</f>
        <v>0.21</v>
      </c>
      <c r="F27" s="302" t="s">
        <v>208</v>
      </c>
      <c r="G27" s="219"/>
      <c r="H27" s="219"/>
      <c r="I27" s="151"/>
      <c r="J27" s="151"/>
      <c r="K27" s="151"/>
      <c r="L27" s="151"/>
      <c r="M27" s="151"/>
      <c r="N27" s="151"/>
      <c r="O27" s="151"/>
      <c r="P27" s="151"/>
      <c r="Q27" s="190"/>
      <c r="R27" s="418"/>
    </row>
    <row r="28" spans="1:19" ht="14.1" customHeight="1" x14ac:dyDescent="0.2">
      <c r="A28" s="323"/>
      <c r="B28" s="201"/>
      <c r="C28" s="201"/>
      <c r="D28" s="201"/>
      <c r="E28" s="201"/>
      <c r="F28" s="201"/>
      <c r="G28" s="219"/>
      <c r="H28" s="219"/>
      <c r="I28" s="151"/>
      <c r="J28" s="151"/>
      <c r="K28" s="151"/>
      <c r="L28" s="151"/>
      <c r="M28" s="151"/>
      <c r="N28" s="151"/>
      <c r="O28" s="151"/>
      <c r="P28" s="151"/>
      <c r="Q28" s="190"/>
      <c r="R28" s="418"/>
    </row>
    <row r="29" spans="1:19" ht="19.5" thickBot="1" x14ac:dyDescent="0.35">
      <c r="A29" s="253" t="s">
        <v>733</v>
      </c>
      <c r="B29" s="226"/>
      <c r="C29" s="227"/>
      <c r="D29" s="227"/>
      <c r="E29" s="228"/>
      <c r="F29" s="227"/>
      <c r="G29" s="219"/>
      <c r="H29" s="219"/>
      <c r="I29" s="151"/>
      <c r="J29" s="151"/>
      <c r="K29" s="151"/>
      <c r="L29" s="151"/>
      <c r="M29" s="151"/>
      <c r="N29" s="151"/>
      <c r="O29" s="151"/>
      <c r="P29" s="151"/>
      <c r="Q29" s="190"/>
      <c r="R29" s="418"/>
    </row>
    <row r="30" spans="1:19" ht="14.1" customHeight="1" x14ac:dyDescent="0.25">
      <c r="A30" s="317"/>
      <c r="B30" s="276"/>
      <c r="C30" s="264"/>
      <c r="D30" s="277" t="s">
        <v>464</v>
      </c>
      <c r="E30" s="278">
        <v>50</v>
      </c>
      <c r="F30" s="267" t="s">
        <v>447</v>
      </c>
      <c r="G30" s="219"/>
      <c r="H30" s="219"/>
      <c r="I30" s="151"/>
      <c r="J30" s="151"/>
      <c r="K30" s="151"/>
      <c r="L30" s="151"/>
      <c r="M30" s="151"/>
      <c r="N30" s="151"/>
      <c r="O30" s="151"/>
      <c r="P30" s="151"/>
      <c r="Q30" s="190"/>
      <c r="R30" s="418"/>
    </row>
    <row r="31" spans="1:19" ht="14.1" customHeight="1" x14ac:dyDescent="0.2">
      <c r="A31" s="218"/>
      <c r="B31" s="219"/>
      <c r="C31" s="216"/>
      <c r="D31" s="216" t="s">
        <v>465</v>
      </c>
      <c r="E31" s="256">
        <f>Coutmin*1000000</f>
        <v>40.449777777777776</v>
      </c>
      <c r="F31" s="273" t="s">
        <v>414</v>
      </c>
      <c r="G31" s="219"/>
      <c r="H31" s="219"/>
      <c r="I31" s="151"/>
      <c r="J31" s="151"/>
      <c r="K31" s="151"/>
      <c r="L31" s="151"/>
      <c r="M31" s="151"/>
      <c r="N31" s="151"/>
      <c r="O31" s="151"/>
      <c r="P31" s="151"/>
      <c r="Q31" s="190"/>
      <c r="R31" s="418"/>
    </row>
    <row r="32" spans="1:19" ht="14.1" customHeight="1" x14ac:dyDescent="0.25">
      <c r="A32" s="218"/>
      <c r="B32" s="219"/>
      <c r="C32" s="216"/>
      <c r="D32" s="215" t="s">
        <v>739</v>
      </c>
      <c r="E32" s="220">
        <v>3300</v>
      </c>
      <c r="F32" s="268" t="s">
        <v>414</v>
      </c>
      <c r="G32" s="221"/>
      <c r="H32" s="219"/>
      <c r="I32" s="151"/>
      <c r="J32" s="151"/>
      <c r="K32" s="151"/>
      <c r="L32" s="151"/>
      <c r="M32" s="151"/>
      <c r="N32" s="151"/>
      <c r="O32" s="151"/>
      <c r="P32" s="151"/>
      <c r="Q32" s="190"/>
      <c r="R32" s="418"/>
    </row>
    <row r="33" spans="1:18" ht="14.1" customHeight="1" x14ac:dyDescent="0.2">
      <c r="A33" s="218"/>
      <c r="B33" s="219"/>
      <c r="C33" s="216"/>
      <c r="D33" s="216" t="s">
        <v>466</v>
      </c>
      <c r="E33" s="257">
        <f>IF(ISERROR(Resrmax*1000),"N/A",Resrmax*1000)</f>
        <v>6.1800393528433091</v>
      </c>
      <c r="F33" s="273" t="s">
        <v>115</v>
      </c>
      <c r="G33" s="221"/>
      <c r="H33" s="219"/>
      <c r="I33" s="151"/>
      <c r="J33" s="151"/>
      <c r="K33" s="151"/>
      <c r="L33" s="151"/>
      <c r="M33" s="151"/>
      <c r="N33" s="151"/>
      <c r="O33" s="151"/>
      <c r="P33" s="151"/>
      <c r="Q33" s="190"/>
      <c r="R33" s="418"/>
    </row>
    <row r="34" spans="1:18" ht="14.1" customHeight="1" x14ac:dyDescent="0.2">
      <c r="A34" s="218"/>
      <c r="B34" s="219"/>
      <c r="C34" s="216"/>
      <c r="D34" s="215" t="s">
        <v>467</v>
      </c>
      <c r="E34" s="222">
        <v>3</v>
      </c>
      <c r="F34" s="268" t="s">
        <v>115</v>
      </c>
      <c r="G34" s="221"/>
      <c r="H34" s="219"/>
      <c r="I34" s="151"/>
      <c r="J34" s="151"/>
      <c r="K34" s="151"/>
      <c r="L34" s="151"/>
      <c r="M34" s="151"/>
      <c r="N34" s="151"/>
      <c r="O34" s="151"/>
      <c r="P34" s="151"/>
      <c r="Q34" s="190"/>
      <c r="R34" s="418"/>
    </row>
    <row r="35" spans="1:18" ht="14.1" customHeight="1" x14ac:dyDescent="0.3">
      <c r="A35" s="218"/>
      <c r="B35" s="219"/>
      <c r="C35" s="219"/>
      <c r="D35" s="216" t="s">
        <v>468</v>
      </c>
      <c r="E35" s="256">
        <f>Vripple2*1000</f>
        <v>24.277603759417669</v>
      </c>
      <c r="F35" s="273" t="s">
        <v>457</v>
      </c>
      <c r="G35" s="221"/>
      <c r="H35" s="219"/>
      <c r="I35" s="151"/>
      <c r="J35" s="151"/>
      <c r="K35" s="151"/>
      <c r="L35" s="151"/>
      <c r="M35" s="151"/>
      <c r="N35" s="151"/>
      <c r="O35" s="151"/>
      <c r="P35" s="151"/>
      <c r="Q35" s="190"/>
      <c r="R35" s="418"/>
    </row>
    <row r="36" spans="1:18" ht="14.1" customHeight="1" thickBot="1" x14ac:dyDescent="0.25">
      <c r="A36" s="269"/>
      <c r="B36" s="270"/>
      <c r="C36" s="270"/>
      <c r="D36" s="217" t="s">
        <v>469</v>
      </c>
      <c r="E36" s="275">
        <f>Icoutrms</f>
        <v>2.3353690088660541</v>
      </c>
      <c r="F36" s="271" t="s">
        <v>282</v>
      </c>
      <c r="G36" s="223"/>
      <c r="H36" s="219"/>
      <c r="I36" s="151"/>
      <c r="J36" s="151"/>
      <c r="K36" s="192"/>
      <c r="L36" s="151"/>
      <c r="M36" s="151"/>
      <c r="N36" s="151"/>
      <c r="O36" s="151"/>
      <c r="P36" s="151"/>
      <c r="Q36" s="190"/>
      <c r="R36" s="418"/>
    </row>
    <row r="37" spans="1:18" ht="14.1" customHeight="1" x14ac:dyDescent="0.2">
      <c r="A37" s="318"/>
      <c r="B37" s="230"/>
      <c r="C37" s="230"/>
      <c r="D37" s="230"/>
      <c r="E37" s="230"/>
      <c r="F37" s="230"/>
      <c r="G37" s="219"/>
      <c r="H37" s="219"/>
      <c r="I37" s="151"/>
      <c r="J37" s="151"/>
      <c r="K37" s="151"/>
      <c r="L37" s="151"/>
      <c r="M37" s="151"/>
      <c r="N37" s="151"/>
      <c r="O37" s="151"/>
      <c r="P37" s="151"/>
      <c r="Q37" s="190"/>
      <c r="R37" s="418"/>
    </row>
    <row r="38" spans="1:18" ht="19.5" thickBot="1" x14ac:dyDescent="0.35">
      <c r="A38" s="252" t="s">
        <v>734</v>
      </c>
      <c r="B38" s="229"/>
      <c r="C38" s="231"/>
      <c r="D38" s="231"/>
      <c r="E38" s="219"/>
      <c r="F38" s="219"/>
      <c r="G38" s="219"/>
      <c r="H38" s="219"/>
      <c r="I38" s="151"/>
      <c r="J38" s="151"/>
      <c r="K38" s="151"/>
      <c r="L38" s="193"/>
      <c r="M38" s="151"/>
      <c r="N38" s="151"/>
      <c r="O38" s="151"/>
      <c r="P38" s="151"/>
      <c r="Q38" s="190"/>
      <c r="R38" s="418"/>
    </row>
    <row r="39" spans="1:18" ht="14.1" customHeight="1" x14ac:dyDescent="0.25">
      <c r="A39" s="295"/>
      <c r="B39" s="279"/>
      <c r="C39" s="263"/>
      <c r="D39" s="265" t="s">
        <v>470</v>
      </c>
      <c r="E39" s="278">
        <v>500</v>
      </c>
      <c r="F39" s="280" t="s">
        <v>447</v>
      </c>
      <c r="G39" s="219"/>
      <c r="H39" s="219"/>
      <c r="I39" s="151"/>
      <c r="J39" s="194"/>
      <c r="K39" s="151"/>
      <c r="L39" s="151"/>
      <c r="M39" s="151"/>
      <c r="N39" s="151"/>
      <c r="O39" s="151"/>
      <c r="P39" s="151"/>
      <c r="Q39" s="190"/>
      <c r="R39" s="418"/>
    </row>
    <row r="40" spans="1:18" ht="14.1" customHeight="1" x14ac:dyDescent="0.2">
      <c r="A40" s="232"/>
      <c r="B40" s="231"/>
      <c r="C40" s="219"/>
      <c r="D40" s="216" t="s">
        <v>471</v>
      </c>
      <c r="E40" s="256">
        <f>'Variable Management'!B80*1000000</f>
        <v>19.999431111111111</v>
      </c>
      <c r="F40" s="273" t="s">
        <v>414</v>
      </c>
      <c r="G40" s="219"/>
      <c r="H40" s="219"/>
      <c r="I40" s="151"/>
      <c r="J40" s="194"/>
      <c r="K40" s="151"/>
      <c r="L40" s="151"/>
      <c r="M40" s="151"/>
      <c r="N40" s="151"/>
      <c r="O40" s="151"/>
      <c r="P40" s="151"/>
      <c r="Q40" s="190"/>
      <c r="R40" s="418"/>
    </row>
    <row r="41" spans="1:18" ht="14.1" customHeight="1" x14ac:dyDescent="0.25">
      <c r="A41" s="218"/>
      <c r="B41" s="219"/>
      <c r="C41" s="231"/>
      <c r="D41" s="258" t="s">
        <v>740</v>
      </c>
      <c r="E41" s="233">
        <v>660</v>
      </c>
      <c r="F41" s="268" t="s">
        <v>414</v>
      </c>
      <c r="G41" s="219"/>
      <c r="H41" s="219"/>
      <c r="I41" s="151"/>
      <c r="J41" s="194"/>
      <c r="K41" s="151"/>
      <c r="L41" s="151"/>
      <c r="M41" s="151"/>
      <c r="N41" s="151"/>
      <c r="O41" s="151"/>
      <c r="P41" s="151"/>
      <c r="Q41" s="190"/>
      <c r="R41" s="418"/>
    </row>
    <row r="42" spans="1:18" ht="14.1" customHeight="1" x14ac:dyDescent="0.2">
      <c r="A42" s="218"/>
      <c r="B42" s="219"/>
      <c r="C42" s="231"/>
      <c r="D42" s="216" t="s">
        <v>466</v>
      </c>
      <c r="E42" s="257">
        <f>IF(CinEsrMax*1000&lt;0,"N/A",CinEsrMax*1000)</f>
        <v>20.164248863353507</v>
      </c>
      <c r="F42" s="273" t="s">
        <v>115</v>
      </c>
      <c r="G42" s="219"/>
      <c r="H42" s="219"/>
      <c r="I42" s="151"/>
      <c r="J42" s="195"/>
      <c r="K42" s="151"/>
      <c r="L42" s="151"/>
      <c r="M42" s="151"/>
      <c r="N42" s="151"/>
      <c r="O42" s="151"/>
      <c r="P42" s="151"/>
      <c r="Q42" s="190" t="s">
        <v>343</v>
      </c>
      <c r="R42" s="418"/>
    </row>
    <row r="43" spans="1:18" ht="14.1" customHeight="1" x14ac:dyDescent="0.2">
      <c r="A43" s="218"/>
      <c r="B43" s="219"/>
      <c r="C43" s="231"/>
      <c r="D43" s="258" t="s">
        <v>472</v>
      </c>
      <c r="E43" s="233">
        <v>10</v>
      </c>
      <c r="F43" s="268" t="s">
        <v>115</v>
      </c>
      <c r="G43" s="219"/>
      <c r="H43" s="219"/>
      <c r="I43" s="151"/>
      <c r="J43" s="195"/>
      <c r="K43" s="151"/>
      <c r="L43" s="151"/>
      <c r="M43" s="151"/>
      <c r="N43" s="151"/>
      <c r="O43" s="151"/>
      <c r="P43" s="151"/>
      <c r="Q43" s="190"/>
      <c r="R43" s="418"/>
    </row>
    <row r="44" spans="1:18" ht="14.1" customHeight="1" x14ac:dyDescent="0.3">
      <c r="A44" s="218"/>
      <c r="B44" s="219"/>
      <c r="C44" s="231"/>
      <c r="D44" s="216" t="s">
        <v>473</v>
      </c>
      <c r="E44" s="256">
        <f>Vinripple2*1000</f>
        <v>255.60086195286198</v>
      </c>
      <c r="F44" s="273" t="s">
        <v>457</v>
      </c>
      <c r="G44" s="219"/>
      <c r="H44" s="219"/>
      <c r="I44" s="151"/>
      <c r="J44" s="195"/>
      <c r="K44" s="151"/>
      <c r="L44" s="151"/>
      <c r="M44" s="151"/>
      <c r="N44" s="151"/>
      <c r="O44" s="151"/>
      <c r="P44" s="151"/>
      <c r="Q44" s="190"/>
      <c r="R44" s="418"/>
    </row>
    <row r="45" spans="1:18" ht="14.1" customHeight="1" thickBot="1" x14ac:dyDescent="0.25">
      <c r="A45" s="269"/>
      <c r="B45" s="270"/>
      <c r="C45" s="270"/>
      <c r="D45" s="217" t="s">
        <v>474</v>
      </c>
      <c r="E45" s="275">
        <f>Icinrms</f>
        <v>9.9998577767664045</v>
      </c>
      <c r="F45" s="281" t="s">
        <v>282</v>
      </c>
      <c r="G45" s="219"/>
      <c r="H45" s="219"/>
      <c r="I45" s="151"/>
      <c r="J45" s="151"/>
      <c r="K45" s="151"/>
      <c r="L45" s="151"/>
      <c r="M45" s="151"/>
      <c r="N45" s="151"/>
      <c r="O45" s="151"/>
      <c r="P45" s="151"/>
      <c r="Q45" s="190"/>
      <c r="R45" s="418"/>
    </row>
    <row r="46" spans="1:18" ht="14.1" customHeight="1" x14ac:dyDescent="0.2">
      <c r="A46" s="218"/>
      <c r="B46" s="219"/>
      <c r="C46" s="219"/>
      <c r="D46" s="216"/>
      <c r="E46" s="219"/>
      <c r="F46" s="219"/>
      <c r="G46" s="219"/>
      <c r="H46" s="219"/>
      <c r="I46" s="151"/>
      <c r="J46" s="151"/>
      <c r="K46" s="151"/>
      <c r="L46" s="151"/>
      <c r="M46" s="151"/>
      <c r="N46" s="151"/>
      <c r="O46" s="151"/>
      <c r="P46" s="151"/>
      <c r="Q46" s="190"/>
      <c r="R46" s="418"/>
    </row>
    <row r="47" spans="1:18" ht="19.5" thickBot="1" x14ac:dyDescent="0.35">
      <c r="A47" s="252" t="s">
        <v>614</v>
      </c>
      <c r="B47" s="229"/>
      <c r="C47" s="219"/>
      <c r="D47" s="216"/>
      <c r="E47" s="219"/>
      <c r="F47" s="219"/>
      <c r="G47" s="219"/>
      <c r="H47" s="234"/>
      <c r="I47" s="211"/>
      <c r="J47" s="211"/>
      <c r="K47" s="211"/>
      <c r="L47" s="211"/>
      <c r="M47" s="201"/>
      <c r="N47" s="151"/>
      <c r="O47" s="151"/>
      <c r="P47" s="151"/>
      <c r="Q47" s="190"/>
      <c r="R47" s="418"/>
    </row>
    <row r="48" spans="1:18" ht="14.1" customHeight="1" x14ac:dyDescent="0.25">
      <c r="A48" s="316"/>
      <c r="B48" s="263"/>
      <c r="C48" s="263"/>
      <c r="D48" s="282" t="s">
        <v>617</v>
      </c>
      <c r="E48" s="283">
        <v>18</v>
      </c>
      <c r="F48" s="267" t="s">
        <v>291</v>
      </c>
      <c r="G48" s="219"/>
      <c r="H48" s="230"/>
      <c r="I48" s="201"/>
      <c r="J48" s="201"/>
      <c r="K48" s="201"/>
      <c r="L48" s="201"/>
      <c r="M48" s="201"/>
      <c r="N48" s="151"/>
      <c r="O48" s="151"/>
      <c r="P48" s="151"/>
      <c r="Q48" s="190"/>
      <c r="R48" s="418"/>
    </row>
    <row r="49" spans="1:35" ht="14.1" customHeight="1" x14ac:dyDescent="0.3">
      <c r="A49" s="218"/>
      <c r="B49" s="219"/>
      <c r="C49" s="219"/>
      <c r="D49" s="216" t="s">
        <v>618</v>
      </c>
      <c r="E49" s="257">
        <f>Css_u*1000000000</f>
        <v>220</v>
      </c>
      <c r="F49" s="273" t="s">
        <v>278</v>
      </c>
      <c r="G49" s="219"/>
      <c r="H49" s="230"/>
      <c r="I49" s="201"/>
      <c r="J49" s="201"/>
      <c r="K49" s="201"/>
      <c r="L49" s="201"/>
      <c r="M49" s="201"/>
      <c r="N49" s="151"/>
      <c r="O49" s="151"/>
      <c r="P49" s="151"/>
      <c r="Q49" s="190"/>
      <c r="R49" s="418"/>
    </row>
    <row r="50" spans="1:35" ht="14.1" customHeight="1" x14ac:dyDescent="0.2">
      <c r="A50" s="218"/>
      <c r="B50" s="219"/>
      <c r="C50" s="231"/>
      <c r="D50" s="215" t="s">
        <v>615</v>
      </c>
      <c r="E50" s="357">
        <v>21</v>
      </c>
      <c r="F50" s="268" t="s">
        <v>0</v>
      </c>
      <c r="G50" s="219"/>
      <c r="H50" s="219"/>
      <c r="I50" s="151"/>
      <c r="J50" s="149"/>
      <c r="K50" s="214"/>
      <c r="L50" s="151"/>
      <c r="M50" s="201"/>
      <c r="N50" s="151"/>
      <c r="O50" s="151"/>
      <c r="P50" s="151"/>
      <c r="Q50" s="190"/>
      <c r="R50" s="418"/>
    </row>
    <row r="51" spans="1:35" ht="14.1" customHeight="1" x14ac:dyDescent="0.2">
      <c r="A51" s="218"/>
      <c r="B51" s="219"/>
      <c r="C51" s="231"/>
      <c r="D51" s="215" t="s">
        <v>616</v>
      </c>
      <c r="E51" s="357">
        <v>1</v>
      </c>
      <c r="F51" s="268" t="s">
        <v>0</v>
      </c>
      <c r="G51" s="219"/>
      <c r="H51" s="219"/>
      <c r="I51" s="151"/>
      <c r="J51" s="149"/>
      <c r="K51" s="214"/>
      <c r="L51" s="151"/>
      <c r="M51" s="201"/>
      <c r="N51" s="151"/>
      <c r="O51" s="151"/>
      <c r="P51" s="151"/>
      <c r="Q51" s="190"/>
      <c r="R51" s="418"/>
    </row>
    <row r="52" spans="1:35" ht="14.1" customHeight="1" x14ac:dyDescent="0.3">
      <c r="A52" s="218"/>
      <c r="B52" s="219"/>
      <c r="C52" s="219"/>
      <c r="D52" s="216" t="s">
        <v>598</v>
      </c>
      <c r="E52" s="356">
        <f>'Variable Management'!F97</f>
        <v>2000</v>
      </c>
      <c r="F52" s="273" t="s">
        <v>116</v>
      </c>
      <c r="G52" s="219"/>
      <c r="H52" s="219"/>
      <c r="I52" s="151"/>
      <c r="J52" s="149"/>
      <c r="K52" s="214"/>
      <c r="L52" s="151"/>
      <c r="M52" s="201"/>
      <c r="N52" s="151"/>
      <c r="O52" s="151"/>
      <c r="P52" s="151"/>
      <c r="Q52" s="190"/>
      <c r="R52" s="418"/>
    </row>
    <row r="53" spans="1:35" ht="14.1" customHeight="1" thickBot="1" x14ac:dyDescent="0.35">
      <c r="A53" s="269"/>
      <c r="B53" s="270"/>
      <c r="C53" s="270"/>
      <c r="D53" s="217" t="s">
        <v>599</v>
      </c>
      <c r="E53" s="284">
        <f>'Variable Management'!F98</f>
        <v>121</v>
      </c>
      <c r="F53" s="271" t="s">
        <v>116</v>
      </c>
      <c r="G53" s="219"/>
      <c r="H53" s="219"/>
      <c r="I53" s="151"/>
      <c r="J53" s="149"/>
      <c r="K53" s="214"/>
      <c r="L53" s="151"/>
      <c r="M53" s="201"/>
      <c r="N53" s="151"/>
      <c r="O53" s="151"/>
      <c r="P53" s="151"/>
      <c r="Q53" s="190"/>
      <c r="R53" s="418"/>
    </row>
    <row r="54" spans="1:35" ht="14.1" customHeight="1" x14ac:dyDescent="0.2">
      <c r="A54" s="218" t="s">
        <v>735</v>
      </c>
      <c r="B54" s="219"/>
      <c r="C54" s="219"/>
      <c r="D54" s="216"/>
      <c r="E54" s="235"/>
      <c r="F54" s="219"/>
      <c r="G54" s="219"/>
      <c r="H54" s="219"/>
      <c r="I54" s="151"/>
      <c r="J54" s="149"/>
      <c r="K54" s="214"/>
      <c r="L54" s="151"/>
      <c r="M54" s="201"/>
      <c r="N54" s="151"/>
      <c r="O54" s="151"/>
      <c r="P54" s="151"/>
      <c r="Q54" s="190"/>
      <c r="R54" s="418"/>
    </row>
    <row r="55" spans="1:35" ht="14.1" customHeight="1" x14ac:dyDescent="0.2">
      <c r="A55" s="318" t="s">
        <v>736</v>
      </c>
      <c r="B55" s="201"/>
      <c r="C55" s="201"/>
      <c r="D55" s="201"/>
      <c r="E55" s="201"/>
      <c r="F55" s="201"/>
      <c r="G55" s="219"/>
      <c r="H55" s="219"/>
      <c r="I55" s="151"/>
      <c r="J55" s="149"/>
      <c r="K55" s="214"/>
      <c r="L55" s="151"/>
      <c r="M55" s="201"/>
      <c r="N55" s="151"/>
      <c r="O55" s="151"/>
      <c r="P55" s="151"/>
      <c r="Q55" s="190"/>
      <c r="R55" s="418"/>
    </row>
    <row r="56" spans="1:35" ht="14.1" customHeight="1" x14ac:dyDescent="0.2">
      <c r="A56" s="323"/>
      <c r="B56" s="219"/>
      <c r="C56" s="219"/>
      <c r="D56" s="216"/>
      <c r="E56" s="235"/>
      <c r="F56" s="219"/>
      <c r="G56" s="219"/>
      <c r="H56" s="219"/>
      <c r="I56" s="151"/>
      <c r="J56" s="149"/>
      <c r="K56" s="214"/>
      <c r="L56" s="151"/>
      <c r="M56" s="201"/>
      <c r="N56" s="151"/>
      <c r="O56" s="151"/>
      <c r="P56" s="151"/>
      <c r="Q56" s="190"/>
      <c r="R56" s="418"/>
    </row>
    <row r="57" spans="1:35" ht="24.95" customHeight="1" thickBot="1" x14ac:dyDescent="0.25">
      <c r="A57" s="315" t="s">
        <v>459</v>
      </c>
      <c r="B57" s="237"/>
      <c r="C57" s="227"/>
      <c r="D57" s="227"/>
      <c r="E57" s="228"/>
      <c r="F57" s="227"/>
      <c r="G57" s="219"/>
      <c r="H57" s="219"/>
      <c r="I57" s="151"/>
      <c r="J57" s="151"/>
      <c r="K57" s="151"/>
      <c r="L57" s="151"/>
      <c r="M57" s="151"/>
      <c r="N57" s="151"/>
      <c r="O57" s="151"/>
      <c r="P57" s="151"/>
      <c r="Q57" s="190"/>
      <c r="R57" s="419"/>
      <c r="S57" s="103"/>
      <c r="T57" s="103"/>
      <c r="W57" s="103"/>
      <c r="X57" s="103"/>
      <c r="Y57" s="103"/>
      <c r="AB57" s="103"/>
      <c r="AC57" s="103"/>
      <c r="AD57" s="103"/>
      <c r="AG57" s="103"/>
      <c r="AH57" s="103"/>
      <c r="AI57" s="103"/>
    </row>
    <row r="58" spans="1:35" ht="14.1" customHeight="1" x14ac:dyDescent="0.2">
      <c r="A58" s="316"/>
      <c r="B58" s="263"/>
      <c r="C58" s="264"/>
      <c r="D58" s="264" t="s">
        <v>475</v>
      </c>
      <c r="E58" s="286">
        <f>Fo/1000</f>
        <v>2.2659414874152648</v>
      </c>
      <c r="F58" s="272" t="s">
        <v>3</v>
      </c>
      <c r="G58" s="219"/>
      <c r="H58" s="219"/>
      <c r="I58" s="151"/>
      <c r="J58" s="151"/>
      <c r="K58" s="151"/>
      <c r="L58" s="151"/>
      <c r="M58" s="151"/>
      <c r="N58" s="151"/>
      <c r="O58" s="151"/>
      <c r="P58" s="151"/>
      <c r="Q58" s="190"/>
      <c r="R58" s="419"/>
      <c r="S58" s="103"/>
      <c r="T58" s="103"/>
      <c r="W58" s="103"/>
      <c r="X58" s="103"/>
      <c r="Y58" s="103"/>
      <c r="AB58" s="103"/>
      <c r="AC58" s="103"/>
      <c r="AD58" s="103"/>
      <c r="AG58" s="103"/>
      <c r="AH58" s="103"/>
      <c r="AI58" s="103"/>
    </row>
    <row r="59" spans="1:35" ht="14.1" customHeight="1" x14ac:dyDescent="0.2">
      <c r="A59" s="218"/>
      <c r="B59" s="219"/>
      <c r="C59" s="216"/>
      <c r="D59" s="216" t="s">
        <v>476</v>
      </c>
      <c r="E59" s="256">
        <f>Fesr/1000</f>
        <v>16.076256896339025</v>
      </c>
      <c r="F59" s="273" t="s">
        <v>3</v>
      </c>
      <c r="G59" s="219"/>
      <c r="H59" s="219"/>
      <c r="I59" s="151"/>
      <c r="J59" s="151"/>
      <c r="K59" s="151"/>
      <c r="L59" s="151"/>
      <c r="M59" s="151"/>
      <c r="N59" s="151"/>
      <c r="O59" s="151"/>
      <c r="P59" s="151"/>
      <c r="Q59" s="190"/>
      <c r="R59" s="419"/>
      <c r="S59" s="103"/>
      <c r="T59" s="103"/>
      <c r="W59" s="103"/>
      <c r="X59" s="103"/>
      <c r="Y59" s="103"/>
      <c r="AB59" s="103"/>
      <c r="AC59" s="103"/>
      <c r="AD59" s="103"/>
      <c r="AG59" s="103"/>
      <c r="AH59" s="103"/>
      <c r="AI59" s="103"/>
    </row>
    <row r="60" spans="1:35" ht="14.1" customHeight="1" x14ac:dyDescent="0.2">
      <c r="A60" s="218"/>
      <c r="B60" s="219"/>
      <c r="C60" s="216"/>
      <c r="D60" s="215" t="s">
        <v>485</v>
      </c>
      <c r="E60" s="259">
        <v>30</v>
      </c>
      <c r="F60" s="461" t="s">
        <v>613</v>
      </c>
      <c r="G60" s="219"/>
      <c r="H60" s="219"/>
      <c r="I60" s="151"/>
      <c r="J60" s="151"/>
      <c r="K60" s="151"/>
      <c r="L60" s="151"/>
      <c r="M60" s="151"/>
      <c r="N60" s="151"/>
      <c r="O60" s="151"/>
      <c r="P60" s="151"/>
      <c r="Q60" s="190"/>
      <c r="R60" s="419"/>
      <c r="S60" s="103"/>
      <c r="T60" s="103"/>
      <c r="W60" s="103"/>
      <c r="X60" s="103"/>
      <c r="Y60" s="103"/>
      <c r="AB60" s="103"/>
      <c r="AC60" s="103"/>
      <c r="AD60" s="103"/>
      <c r="AG60" s="103"/>
      <c r="AH60" s="103"/>
      <c r="AI60" s="103"/>
    </row>
    <row r="61" spans="1:35" ht="14.1" customHeight="1" x14ac:dyDescent="0.2">
      <c r="A61" s="218"/>
      <c r="B61" s="219"/>
      <c r="C61" s="216"/>
      <c r="D61" s="216" t="s">
        <v>477</v>
      </c>
      <c r="E61" s="254">
        <f>Kmidband</f>
        <v>0.88263532448111826</v>
      </c>
      <c r="F61" s="273" t="s">
        <v>49</v>
      </c>
      <c r="G61" s="219"/>
      <c r="H61" s="219"/>
      <c r="I61" s="151"/>
      <c r="J61" s="151"/>
      <c r="K61" s="151"/>
      <c r="L61" s="151"/>
      <c r="M61" s="151"/>
      <c r="N61" s="151"/>
      <c r="O61" s="151"/>
      <c r="P61" s="151"/>
      <c r="Q61" s="190"/>
      <c r="R61" s="419"/>
      <c r="S61" s="103"/>
      <c r="T61" s="103"/>
      <c r="W61" s="103"/>
      <c r="X61" s="103"/>
      <c r="Y61" s="103"/>
      <c r="AB61" s="103"/>
      <c r="AC61" s="103"/>
      <c r="AD61" s="103"/>
      <c r="AG61" s="103"/>
      <c r="AH61" s="103"/>
      <c r="AI61" s="103"/>
    </row>
    <row r="62" spans="1:35" ht="15.95" customHeight="1" x14ac:dyDescent="0.25">
      <c r="A62" s="218"/>
      <c r="B62" s="219"/>
      <c r="C62" s="216"/>
      <c r="D62" s="215" t="s">
        <v>600</v>
      </c>
      <c r="E62" s="260">
        <v>18</v>
      </c>
      <c r="F62" s="268" t="s">
        <v>116</v>
      </c>
      <c r="G62" s="219"/>
      <c r="H62" s="219"/>
      <c r="I62" s="151"/>
      <c r="J62" s="151"/>
      <c r="K62" s="151"/>
      <c r="L62" s="151"/>
      <c r="M62" s="151"/>
      <c r="N62" s="151"/>
      <c r="O62" s="151"/>
      <c r="P62" s="151"/>
      <c r="Q62" s="190"/>
      <c r="R62" s="419"/>
      <c r="S62" s="103"/>
      <c r="T62" s="103"/>
      <c r="W62" s="103"/>
      <c r="X62" s="103"/>
      <c r="Y62" s="103"/>
      <c r="AB62" s="103"/>
      <c r="AC62" s="103"/>
      <c r="AD62" s="103"/>
      <c r="AG62" s="103"/>
      <c r="AH62" s="103"/>
      <c r="AI62" s="103"/>
    </row>
    <row r="63" spans="1:35" ht="15.95" customHeight="1" x14ac:dyDescent="0.3">
      <c r="A63" s="435"/>
      <c r="B63" s="219"/>
      <c r="C63" s="216"/>
      <c r="D63" s="216" t="s">
        <v>601</v>
      </c>
      <c r="E63" s="356">
        <f>IF(Vout=Vref,"OPEN",Rfb2_u/1000)</f>
        <v>1.3</v>
      </c>
      <c r="F63" s="273" t="str">
        <f>IF(Vout=Vref,"","kΩ")</f>
        <v>kΩ</v>
      </c>
      <c r="G63" s="219"/>
      <c r="H63" s="219"/>
      <c r="I63" s="151"/>
      <c r="J63" s="151"/>
      <c r="K63" s="151"/>
      <c r="L63" s="151"/>
      <c r="M63" s="151"/>
      <c r="N63" s="151"/>
      <c r="O63" s="151"/>
      <c r="P63" s="151"/>
      <c r="Q63" s="190"/>
      <c r="R63" s="419"/>
      <c r="S63" s="103"/>
      <c r="T63" s="103"/>
      <c r="W63" s="103"/>
      <c r="X63" s="103"/>
      <c r="Y63" s="103"/>
      <c r="AB63" s="103"/>
      <c r="AC63" s="103"/>
      <c r="AD63" s="103"/>
      <c r="AG63" s="103"/>
      <c r="AH63" s="103"/>
      <c r="AI63" s="103"/>
    </row>
    <row r="64" spans="1:35" ht="15.95" customHeight="1" thickBot="1" x14ac:dyDescent="0.35">
      <c r="A64" s="269"/>
      <c r="B64" s="326"/>
      <c r="C64" s="326"/>
      <c r="D64" s="455" t="s">
        <v>708</v>
      </c>
      <c r="E64" s="555">
        <f>'Variable Management'!B129</f>
        <v>11.876923076923077</v>
      </c>
      <c r="F64" s="302" t="s">
        <v>0</v>
      </c>
      <c r="G64" s="219"/>
      <c r="H64" s="219"/>
      <c r="I64" s="151"/>
      <c r="J64" s="151"/>
      <c r="K64" s="151"/>
      <c r="L64" s="151"/>
      <c r="M64" s="151"/>
      <c r="N64" s="151"/>
      <c r="O64" s="151"/>
      <c r="P64" s="151"/>
      <c r="Q64" s="190"/>
      <c r="R64" s="419"/>
      <c r="S64" s="103"/>
      <c r="T64" s="103"/>
      <c r="W64" s="103"/>
      <c r="X64" s="103"/>
      <c r="Y64" s="103"/>
      <c r="AB64" s="103"/>
      <c r="AC64" s="103"/>
      <c r="AD64" s="103"/>
      <c r="AG64" s="103"/>
      <c r="AH64" s="103"/>
      <c r="AI64" s="103"/>
    </row>
    <row r="65" spans="1:35" ht="13.5" thickBot="1" x14ac:dyDescent="0.25">
      <c r="A65" s="218"/>
      <c r="B65" s="219"/>
      <c r="C65" s="216"/>
      <c r="D65" s="238"/>
      <c r="E65" s="239"/>
      <c r="F65" s="240"/>
      <c r="G65" s="219"/>
      <c r="H65" s="219"/>
      <c r="I65" s="151"/>
      <c r="J65" s="151"/>
      <c r="K65" s="151"/>
      <c r="L65" s="151"/>
      <c r="M65" s="151"/>
      <c r="N65" s="151"/>
      <c r="O65" s="151"/>
      <c r="P65" s="151"/>
      <c r="Q65" s="190"/>
      <c r="R65" s="419"/>
      <c r="S65" s="103"/>
      <c r="T65" s="103"/>
      <c r="W65" s="103"/>
      <c r="X65" s="103"/>
      <c r="Y65" s="103"/>
      <c r="AB65" s="103"/>
      <c r="AC65" s="103"/>
      <c r="AD65" s="103"/>
      <c r="AG65" s="103"/>
      <c r="AH65" s="103"/>
      <c r="AI65" s="103"/>
    </row>
    <row r="66" spans="1:35" ht="15.95" customHeight="1" x14ac:dyDescent="0.2">
      <c r="A66" s="398" t="s">
        <v>737</v>
      </c>
      <c r="B66" s="324"/>
      <c r="C66" s="324"/>
      <c r="D66" s="327" t="s">
        <v>537</v>
      </c>
      <c r="E66" s="328">
        <f>Fo/1000*0.7</f>
        <v>1.5861590411906852</v>
      </c>
      <c r="F66" s="330" t="str">
        <f>"      kHz  "</f>
        <v xml:space="preserve">      kHz  </v>
      </c>
      <c r="G66" s="242"/>
      <c r="H66" s="243"/>
      <c r="I66" s="151"/>
      <c r="J66" s="151"/>
      <c r="K66" s="151"/>
      <c r="L66" s="151"/>
      <c r="M66" s="151"/>
      <c r="N66" s="151"/>
      <c r="O66" s="151"/>
      <c r="P66" s="151"/>
      <c r="Q66" s="190"/>
      <c r="R66" s="419"/>
      <c r="S66" s="103"/>
      <c r="T66" s="103"/>
      <c r="W66" s="103"/>
      <c r="X66" s="103"/>
      <c r="Y66" s="103"/>
      <c r="AB66" s="103"/>
      <c r="AC66" s="103"/>
      <c r="AD66" s="103"/>
      <c r="AG66" s="103"/>
      <c r="AH66" s="103"/>
      <c r="AI66" s="103"/>
    </row>
    <row r="67" spans="1:35" ht="15.95" customHeight="1" x14ac:dyDescent="0.2">
      <c r="A67" s="407" t="str">
        <f>" Baseline P/Z Frequencies:"</f>
        <v xml:space="preserve"> Baseline P/Z Frequencies:</v>
      </c>
      <c r="B67" s="211"/>
      <c r="C67" s="211"/>
      <c r="D67" s="241" t="s">
        <v>538</v>
      </c>
      <c r="E67" s="261">
        <f>Fo/1000*0.9</f>
        <v>2.0393473386737382</v>
      </c>
      <c r="F67" s="285" t="str">
        <f>"      kHz"</f>
        <v xml:space="preserve">      kHz</v>
      </c>
      <c r="G67" s="242"/>
      <c r="H67" s="243"/>
      <c r="I67" s="151"/>
      <c r="J67" s="151"/>
      <c r="K67" s="151"/>
      <c r="L67" s="151"/>
      <c r="M67" s="151"/>
      <c r="N67" s="151"/>
      <c r="O67" s="151"/>
      <c r="P67" s="151"/>
      <c r="Q67" s="190"/>
      <c r="R67" s="419"/>
      <c r="S67" s="103"/>
      <c r="T67" s="103"/>
      <c r="W67" s="103"/>
      <c r="X67" s="103"/>
      <c r="Y67" s="103"/>
      <c r="AB67" s="103"/>
      <c r="AC67" s="103"/>
      <c r="AD67" s="103"/>
      <c r="AG67" s="103"/>
      <c r="AH67" s="103"/>
      <c r="AI67" s="103"/>
    </row>
    <row r="68" spans="1:35" ht="15.95" customHeight="1" x14ac:dyDescent="0.2">
      <c r="A68" s="323"/>
      <c r="B68" s="211"/>
      <c r="C68" s="211"/>
      <c r="D68" s="244" t="s">
        <v>535</v>
      </c>
      <c r="E68" s="262">
        <f>Fesr/1000</f>
        <v>16.076256896339025</v>
      </c>
      <c r="F68" s="285" t="str">
        <f>"      kHz"</f>
        <v xml:space="preserve">      kHz</v>
      </c>
      <c r="G68" s="245"/>
      <c r="H68" s="243"/>
      <c r="I68" s="151"/>
      <c r="J68" s="151"/>
      <c r="K68" s="151"/>
      <c r="L68" s="151"/>
      <c r="M68" s="151"/>
      <c r="N68" s="151"/>
      <c r="O68" s="151"/>
      <c r="P68" s="151"/>
      <c r="Q68" s="190"/>
      <c r="R68" s="419"/>
      <c r="S68" s="103"/>
      <c r="T68" s="103"/>
      <c r="W68" s="103"/>
      <c r="X68" s="103"/>
      <c r="Y68" s="103"/>
      <c r="AB68" s="103"/>
      <c r="AC68" s="103"/>
      <c r="AD68" s="103"/>
      <c r="AG68" s="103"/>
      <c r="AH68" s="103"/>
      <c r="AI68" s="103"/>
    </row>
    <row r="69" spans="1:35" ht="15.95" customHeight="1" thickBot="1" x14ac:dyDescent="0.25">
      <c r="A69" s="325"/>
      <c r="B69" s="326"/>
      <c r="C69" s="326"/>
      <c r="D69" s="312" t="s">
        <v>536</v>
      </c>
      <c r="E69" s="313">
        <f>Fsw/2000</f>
        <v>250</v>
      </c>
      <c r="F69" s="314" t="str">
        <f>"      kHz"</f>
        <v xml:space="preserve">      kHz</v>
      </c>
      <c r="G69" s="245"/>
      <c r="H69" s="243"/>
      <c r="I69" s="151"/>
      <c r="J69" s="151"/>
      <c r="K69" s="151"/>
      <c r="L69" s="151"/>
      <c r="M69" s="151"/>
      <c r="N69" s="151"/>
      <c r="O69" s="151"/>
      <c r="P69" s="151"/>
      <c r="Q69" s="190"/>
      <c r="R69" s="419"/>
      <c r="S69" s="103"/>
      <c r="T69" s="103"/>
      <c r="W69" s="103"/>
      <c r="X69" s="103"/>
      <c r="Y69" s="103"/>
      <c r="AB69" s="103"/>
      <c r="AC69" s="103"/>
      <c r="AD69" s="103"/>
      <c r="AG69" s="103"/>
      <c r="AH69" s="103"/>
      <c r="AI69" s="103"/>
    </row>
    <row r="70" spans="1:35" ht="15.75" customHeight="1" x14ac:dyDescent="0.2">
      <c r="A70" s="319"/>
      <c r="B70" s="246"/>
      <c r="C70" s="247"/>
      <c r="D70" s="230"/>
      <c r="E70" s="230"/>
      <c r="F70" s="230"/>
      <c r="G70" s="245"/>
      <c r="H70" s="243"/>
      <c r="I70" s="151"/>
      <c r="J70" s="151"/>
      <c r="K70" s="151"/>
      <c r="L70" s="151"/>
      <c r="M70" s="151"/>
      <c r="N70" s="151"/>
      <c r="O70" s="151"/>
      <c r="P70" s="151"/>
      <c r="Q70" s="190"/>
      <c r="R70" s="419"/>
      <c r="S70" s="103"/>
      <c r="T70" s="103"/>
      <c r="W70" s="103"/>
      <c r="X70" s="103"/>
      <c r="Y70" s="103"/>
      <c r="AB70" s="103"/>
      <c r="AC70" s="103"/>
      <c r="AD70" s="103"/>
      <c r="AG70" s="103"/>
      <c r="AH70" s="103"/>
      <c r="AI70" s="103"/>
    </row>
    <row r="71" spans="1:35" ht="18" customHeight="1" x14ac:dyDescent="0.2">
      <c r="A71" s="232" t="s">
        <v>444</v>
      </c>
      <c r="B71" s="248"/>
      <c r="C71" s="216"/>
      <c r="D71" s="238"/>
      <c r="E71" s="239"/>
      <c r="F71" s="240"/>
      <c r="G71" s="249"/>
      <c r="H71" s="219"/>
      <c r="I71" s="151"/>
      <c r="J71" s="151"/>
      <c r="K71" s="151"/>
      <c r="L71" s="151"/>
      <c r="M71" s="151"/>
      <c r="N71" s="151"/>
      <c r="O71" s="151"/>
      <c r="P71" s="151"/>
      <c r="Q71" s="190"/>
      <c r="R71" s="419"/>
      <c r="S71" s="331"/>
      <c r="T71" s="331"/>
      <c r="U71" s="332"/>
      <c r="V71" s="332"/>
      <c r="W71" s="331"/>
      <c r="X71" s="331"/>
      <c r="Y71" s="331"/>
      <c r="Z71" s="332"/>
      <c r="AA71" s="332"/>
      <c r="AB71" s="331"/>
      <c r="AC71" s="331"/>
      <c r="AD71" s="331"/>
      <c r="AE71" s="332"/>
      <c r="AF71" s="332"/>
      <c r="AG71" s="103"/>
      <c r="AH71" s="103"/>
      <c r="AI71" s="103"/>
    </row>
    <row r="72" spans="1:35" s="345" customFormat="1" ht="13.5" customHeight="1" thickBot="1" x14ac:dyDescent="0.25">
      <c r="A72" s="347"/>
      <c r="B72" s="348" t="s">
        <v>460</v>
      </c>
      <c r="C72" s="351" t="s">
        <v>443</v>
      </c>
      <c r="D72" s="349" t="str">
        <f>"    Selected"</f>
        <v xml:space="preserve">    Selected</v>
      </c>
      <c r="E72" s="350"/>
      <c r="F72" s="567" t="s">
        <v>445</v>
      </c>
      <c r="G72" s="567"/>
      <c r="H72" s="567"/>
      <c r="I72" s="340"/>
      <c r="J72" s="340"/>
      <c r="K72" s="340"/>
      <c r="L72" s="340"/>
      <c r="M72" s="340"/>
      <c r="N72" s="340"/>
      <c r="O72" s="340"/>
      <c r="P72" s="340"/>
      <c r="Q72" s="341"/>
      <c r="R72" s="420"/>
      <c r="S72" s="342"/>
      <c r="T72" s="342"/>
      <c r="U72" s="343"/>
      <c r="V72" s="343"/>
      <c r="W72" s="342"/>
      <c r="X72" s="342"/>
      <c r="Y72" s="342"/>
      <c r="Z72" s="343"/>
      <c r="AA72" s="343"/>
      <c r="AB72" s="342"/>
      <c r="AC72" s="342"/>
      <c r="AD72" s="342"/>
      <c r="AE72" s="343"/>
      <c r="AF72" s="343"/>
      <c r="AG72" s="344"/>
      <c r="AH72" s="344"/>
      <c r="AI72" s="344"/>
    </row>
    <row r="73" spans="1:35" ht="14.25" x14ac:dyDescent="0.25">
      <c r="A73" s="293" t="s">
        <v>448</v>
      </c>
      <c r="B73" s="309">
        <f>Rcea1/1000</f>
        <v>15.887435840660128</v>
      </c>
      <c r="C73" s="287">
        <f>'Standard Value Calculator'!S27</f>
        <v>15.8</v>
      </c>
      <c r="D73" s="288">
        <v>18</v>
      </c>
      <c r="E73" s="289" t="s">
        <v>116</v>
      </c>
      <c r="F73" s="291">
        <f>Fz1_u/1000</f>
        <v>3.3747867530482689</v>
      </c>
      <c r="G73" s="308" t="s">
        <v>449</v>
      </c>
      <c r="H73" s="230"/>
      <c r="I73" s="151"/>
      <c r="J73" s="151"/>
      <c r="K73" s="151"/>
      <c r="L73" s="151"/>
      <c r="M73" s="151"/>
      <c r="N73" s="151"/>
      <c r="O73" s="151"/>
      <c r="P73" s="151"/>
      <c r="Q73" s="190"/>
      <c r="R73" s="419"/>
      <c r="S73" s="331"/>
      <c r="T73" s="331"/>
      <c r="U73" s="332"/>
      <c r="V73" s="332"/>
      <c r="W73" s="331"/>
      <c r="X73" s="331"/>
      <c r="Y73" s="331"/>
      <c r="Z73" s="332"/>
      <c r="AA73" s="332"/>
      <c r="AB73" s="331"/>
      <c r="AC73" s="331"/>
      <c r="AD73" s="331"/>
      <c r="AE73" s="332"/>
      <c r="AF73" s="332"/>
      <c r="AG73" s="103"/>
      <c r="AH73" s="103"/>
      <c r="AI73" s="103"/>
    </row>
    <row r="74" spans="1:35" ht="14.25" x14ac:dyDescent="0.25">
      <c r="A74" s="294" t="s">
        <v>450</v>
      </c>
      <c r="B74" s="310">
        <f>Cc1ea*1000000000000</f>
        <v>6315.6723521331915</v>
      </c>
      <c r="C74" s="243">
        <f>'Standard Value Calculator'!S28</f>
        <v>6800</v>
      </c>
      <c r="D74" s="250">
        <v>2620</v>
      </c>
      <c r="E74" s="290" t="s">
        <v>53</v>
      </c>
      <c r="F74" s="292">
        <f>Fz2_u/1000</f>
        <v>2.4357964994453072</v>
      </c>
      <c r="G74" s="285" t="s">
        <v>451</v>
      </c>
      <c r="H74" s="230"/>
      <c r="I74" s="151"/>
      <c r="J74" s="151"/>
      <c r="K74" s="151"/>
      <c r="L74" s="151"/>
      <c r="M74" s="151"/>
      <c r="N74" s="151"/>
      <c r="O74" s="151"/>
      <c r="P74" s="151"/>
      <c r="Q74" s="190"/>
      <c r="R74" s="419"/>
      <c r="S74" s="331"/>
      <c r="T74" s="331"/>
      <c r="U74" s="332"/>
      <c r="V74" s="332"/>
      <c r="W74" s="331"/>
      <c r="X74" s="331"/>
      <c r="Y74" s="331"/>
      <c r="Z74" s="332"/>
      <c r="AA74" s="332"/>
      <c r="AB74" s="331"/>
      <c r="AC74" s="331"/>
      <c r="AD74" s="331"/>
      <c r="AE74" s="332"/>
      <c r="AF74" s="332"/>
      <c r="AG74" s="103"/>
      <c r="AH74" s="103"/>
      <c r="AI74" s="103"/>
    </row>
    <row r="75" spans="1:35" ht="14.25" x14ac:dyDescent="0.25">
      <c r="A75" s="294" t="s">
        <v>452</v>
      </c>
      <c r="B75" s="310">
        <f>Cc2ea*1000000000000</f>
        <v>40.326500181586809</v>
      </c>
      <c r="C75" s="243">
        <f>'Standard Value Calculator'!S29</f>
        <v>39</v>
      </c>
      <c r="D75" s="250">
        <v>1</v>
      </c>
      <c r="E75" s="290" t="s">
        <v>53</v>
      </c>
      <c r="F75" s="481">
        <f>Fp1_u/1000</f>
        <v>26.79376149389838</v>
      </c>
      <c r="G75" s="285" t="s">
        <v>453</v>
      </c>
      <c r="H75" s="230"/>
      <c r="I75" s="151"/>
      <c r="J75" s="151"/>
      <c r="K75" s="151"/>
      <c r="L75" s="151"/>
      <c r="M75" s="151"/>
      <c r="N75" s="151"/>
      <c r="O75" s="151"/>
      <c r="P75" s="151"/>
      <c r="Q75" s="190"/>
      <c r="R75" s="419"/>
      <c r="S75" s="331"/>
      <c r="T75" s="331"/>
      <c r="U75" s="332"/>
      <c r="V75" s="332"/>
      <c r="W75" s="331"/>
      <c r="X75" s="331"/>
      <c r="Y75" s="331"/>
      <c r="Z75" s="332"/>
      <c r="AA75" s="332"/>
      <c r="AB75" s="331"/>
      <c r="AC75" s="331"/>
      <c r="AD75" s="331"/>
      <c r="AE75" s="332"/>
      <c r="AF75" s="332"/>
      <c r="AG75" s="103"/>
      <c r="AH75" s="103"/>
      <c r="AI75" s="103"/>
    </row>
    <row r="76" spans="1:35" ht="14.25" x14ac:dyDescent="0.25">
      <c r="A76" s="294" t="s">
        <v>454</v>
      </c>
      <c r="B76" s="310">
        <f>Rcea2</f>
        <v>2615.12350317037</v>
      </c>
      <c r="C76" s="243">
        <f>'Standard Value Calculator'!S30</f>
        <v>2610</v>
      </c>
      <c r="D76" s="250">
        <v>1800</v>
      </c>
      <c r="E76" s="290" t="s">
        <v>274</v>
      </c>
      <c r="F76" s="481">
        <f>Fp2_u/1000</f>
        <v>8845.3160797395121</v>
      </c>
      <c r="G76" s="285" t="s">
        <v>455</v>
      </c>
      <c r="H76" s="230"/>
      <c r="I76" s="151"/>
      <c r="J76" s="151"/>
      <c r="K76" s="151"/>
      <c r="L76" s="151"/>
      <c r="M76" s="151"/>
      <c r="N76" s="151"/>
      <c r="O76" s="151"/>
      <c r="P76" s="151"/>
      <c r="Q76" s="190"/>
      <c r="R76" s="419"/>
      <c r="S76" s="331"/>
      <c r="T76" s="331"/>
      <c r="U76" s="332"/>
      <c r="V76" s="332"/>
      <c r="W76" s="331"/>
      <c r="X76" s="331"/>
      <c r="Y76" s="331"/>
      <c r="Z76" s="332"/>
      <c r="AA76" s="332"/>
      <c r="AB76" s="331"/>
      <c r="AC76" s="331"/>
      <c r="AD76" s="331"/>
      <c r="AE76" s="332"/>
      <c r="AF76" s="332"/>
      <c r="AG76" s="103"/>
      <c r="AH76" s="103"/>
      <c r="AI76" s="103"/>
    </row>
    <row r="77" spans="1:35" ht="15" customHeight="1" thickBot="1" x14ac:dyDescent="0.3">
      <c r="A77" s="320" t="s">
        <v>456</v>
      </c>
      <c r="B77" s="311">
        <f>Cc3ea*1000000000000</f>
        <v>3785.672067876726</v>
      </c>
      <c r="C77" s="303">
        <f>'Standard Value Calculator'!S31</f>
        <v>3900</v>
      </c>
      <c r="D77" s="304">
        <v>3300</v>
      </c>
      <c r="E77" s="305" t="s">
        <v>53</v>
      </c>
      <c r="F77" s="306"/>
      <c r="G77" s="307"/>
      <c r="H77" s="230"/>
      <c r="I77" s="151"/>
      <c r="J77" s="151"/>
      <c r="K77" s="151"/>
      <c r="L77" s="215" t="s">
        <v>756</v>
      </c>
      <c r="M77" s="233">
        <v>0.5</v>
      </c>
      <c r="N77" s="231" t="s">
        <v>208</v>
      </c>
      <c r="O77" s="151"/>
      <c r="P77" s="151"/>
      <c r="Q77" s="190"/>
      <c r="R77" s="419"/>
      <c r="S77" s="331"/>
      <c r="T77" s="331"/>
      <c r="U77" s="332"/>
      <c r="V77" s="332"/>
      <c r="W77" s="331"/>
      <c r="X77" s="331"/>
      <c r="Y77" s="331"/>
      <c r="Z77" s="332"/>
      <c r="AA77" s="332"/>
      <c r="AB77" s="331"/>
      <c r="AC77" s="331"/>
      <c r="AD77" s="331"/>
      <c r="AE77" s="332"/>
      <c r="AF77" s="332"/>
      <c r="AG77" s="103"/>
      <c r="AH77" s="103"/>
      <c r="AI77" s="103"/>
    </row>
    <row r="78" spans="1:35" ht="13.5" thickBot="1" x14ac:dyDescent="0.25">
      <c r="A78" s="218"/>
      <c r="B78" s="216"/>
      <c r="C78" s="216"/>
      <c r="D78" s="219"/>
      <c r="E78" s="219"/>
      <c r="F78" s="219"/>
      <c r="G78" s="219"/>
      <c r="H78" s="219"/>
      <c r="I78" s="151"/>
      <c r="J78" s="151"/>
      <c r="K78" s="151"/>
      <c r="L78" s="151"/>
      <c r="M78" s="151"/>
      <c r="N78" s="151"/>
      <c r="O78" s="151"/>
      <c r="P78" s="151"/>
      <c r="Q78" s="190"/>
      <c r="R78" s="419"/>
      <c r="S78" s="331"/>
      <c r="T78" s="331"/>
      <c r="U78" s="332"/>
      <c r="V78" s="332"/>
      <c r="W78" s="331"/>
      <c r="X78" s="331"/>
      <c r="Y78" s="331"/>
      <c r="Z78" s="332"/>
      <c r="AA78" s="332"/>
      <c r="AB78" s="331"/>
      <c r="AC78" s="331"/>
      <c r="AD78" s="331"/>
      <c r="AE78" s="332"/>
      <c r="AF78" s="332"/>
      <c r="AG78" s="103"/>
      <c r="AH78" s="103"/>
      <c r="AI78" s="103"/>
    </row>
    <row r="79" spans="1:35" s="154" customFormat="1" ht="18.75" thickBot="1" x14ac:dyDescent="0.3">
      <c r="A79" s="321" t="s">
        <v>458</v>
      </c>
      <c r="B79" s="236"/>
      <c r="C79" s="251"/>
      <c r="D79" s="251"/>
      <c r="E79" s="251"/>
      <c r="F79" s="251"/>
      <c r="G79" s="251"/>
      <c r="H79" s="251"/>
      <c r="I79" s="152"/>
      <c r="J79" s="152"/>
      <c r="K79" s="152"/>
      <c r="L79" s="152"/>
      <c r="M79" s="152"/>
      <c r="N79" s="152"/>
      <c r="O79" s="152"/>
      <c r="P79" s="152"/>
      <c r="Q79" s="153"/>
      <c r="R79" s="421"/>
      <c r="S79" s="333"/>
      <c r="T79" s="333"/>
      <c r="U79" s="334"/>
      <c r="V79" s="334"/>
      <c r="W79" s="333"/>
      <c r="X79" s="333"/>
      <c r="Y79" s="333"/>
      <c r="Z79" s="334"/>
      <c r="AA79" s="334"/>
      <c r="AB79" s="333"/>
      <c r="AC79" s="333"/>
      <c r="AD79" s="333"/>
      <c r="AE79" s="334"/>
      <c r="AF79" s="334"/>
      <c r="AG79" s="104"/>
      <c r="AH79" s="104"/>
      <c r="AI79" s="104"/>
    </row>
    <row r="80" spans="1:35" x14ac:dyDescent="0.2">
      <c r="A80" s="318"/>
      <c r="B80" s="230"/>
      <c r="C80" s="219"/>
      <c r="D80" s="219"/>
      <c r="E80" s="219"/>
      <c r="F80" s="219"/>
      <c r="G80" s="219"/>
      <c r="H80" s="219"/>
      <c r="I80" s="151"/>
      <c r="J80" s="151"/>
      <c r="K80" s="151"/>
      <c r="L80" s="151"/>
      <c r="M80" s="151"/>
      <c r="N80" s="151"/>
      <c r="O80" s="151"/>
      <c r="P80" s="151"/>
      <c r="Q80" s="190"/>
      <c r="R80" s="419"/>
      <c r="S80" s="331"/>
      <c r="T80" s="331"/>
      <c r="U80" s="332"/>
      <c r="V80" s="332"/>
      <c r="W80" s="331"/>
      <c r="X80" s="331"/>
      <c r="Y80" s="331"/>
      <c r="Z80" s="332"/>
      <c r="AA80" s="332"/>
      <c r="AB80" s="331"/>
      <c r="AC80" s="331"/>
      <c r="AD80" s="331"/>
      <c r="AE80" s="332"/>
      <c r="AF80" s="332"/>
      <c r="AG80" s="103"/>
      <c r="AH80" s="103"/>
      <c r="AI80" s="103"/>
    </row>
    <row r="81" spans="1:35" ht="18.75" x14ac:dyDescent="0.3">
      <c r="A81" s="253" t="s">
        <v>362</v>
      </c>
      <c r="B81" s="226"/>
      <c r="C81" s="219"/>
      <c r="D81" s="219"/>
      <c r="E81" s="219"/>
      <c r="F81" s="219"/>
      <c r="G81" s="219"/>
      <c r="H81" s="219"/>
      <c r="I81" s="151"/>
      <c r="J81" s="151"/>
      <c r="K81" s="151"/>
      <c r="L81" s="151"/>
      <c r="M81" s="151"/>
      <c r="N81" s="151"/>
      <c r="O81" s="151"/>
      <c r="P81" s="151"/>
      <c r="Q81" s="190"/>
      <c r="R81" s="419"/>
      <c r="S81" s="331"/>
      <c r="T81" s="331"/>
      <c r="U81" s="332"/>
      <c r="V81" s="332"/>
      <c r="W81" s="331"/>
      <c r="X81" s="331"/>
      <c r="Y81" s="331"/>
      <c r="Z81" s="332"/>
      <c r="AA81" s="332"/>
      <c r="AB81" s="331"/>
      <c r="AC81" s="331"/>
      <c r="AD81" s="331"/>
      <c r="AE81" s="332"/>
      <c r="AF81" s="332"/>
      <c r="AG81" s="103"/>
      <c r="AH81" s="103"/>
      <c r="AI81" s="103"/>
    </row>
    <row r="82" spans="1:35" ht="13.5" customHeight="1" thickBot="1" x14ac:dyDescent="0.25">
      <c r="A82" s="218"/>
      <c r="B82" s="219"/>
      <c r="C82" s="219"/>
      <c r="D82" s="219"/>
      <c r="E82" s="219"/>
      <c r="F82" s="219"/>
      <c r="G82" s="219"/>
      <c r="H82" s="219"/>
      <c r="I82" s="151"/>
      <c r="J82" s="151"/>
      <c r="K82" s="151"/>
      <c r="L82" s="151"/>
      <c r="M82" s="151"/>
      <c r="N82" s="151"/>
      <c r="O82" s="151"/>
      <c r="P82" s="151"/>
      <c r="Q82" s="190"/>
      <c r="R82" s="419"/>
      <c r="S82" s="331"/>
      <c r="T82" s="213"/>
      <c r="U82" s="213"/>
      <c r="V82" s="332"/>
      <c r="W82" s="331"/>
      <c r="X82" s="331"/>
      <c r="Y82" s="331"/>
      <c r="Z82" s="332"/>
      <c r="AA82" s="332"/>
      <c r="AB82" s="331"/>
      <c r="AC82" s="331"/>
      <c r="AD82" s="331"/>
      <c r="AE82" s="332"/>
      <c r="AF82" s="332"/>
      <c r="AG82" s="103"/>
      <c r="AH82" s="103"/>
      <c r="AI82" s="103"/>
    </row>
    <row r="83" spans="1:35" ht="18" customHeight="1" x14ac:dyDescent="0.25">
      <c r="A83" s="295"/>
      <c r="B83" s="296"/>
      <c r="C83" s="297"/>
      <c r="D83" s="346" t="s">
        <v>533</v>
      </c>
      <c r="E83" s="405" t="s">
        <v>758</v>
      </c>
      <c r="F83" s="298"/>
      <c r="G83" s="219"/>
      <c r="H83" s="219"/>
      <c r="I83" s="151"/>
      <c r="J83" s="151"/>
      <c r="K83" s="151"/>
      <c r="L83" s="151"/>
      <c r="M83" s="151"/>
      <c r="N83" s="151"/>
      <c r="O83" s="151"/>
      <c r="P83" s="151"/>
      <c r="Q83" s="190"/>
      <c r="R83" s="419"/>
      <c r="S83" s="331"/>
      <c r="T83" s="213"/>
      <c r="U83" s="213"/>
      <c r="V83" s="332"/>
      <c r="W83" s="331"/>
      <c r="X83" s="331"/>
      <c r="Y83" s="331"/>
      <c r="Z83" s="332"/>
      <c r="AA83" s="332"/>
      <c r="AB83" s="331"/>
      <c r="AC83" s="331"/>
      <c r="AD83" s="331"/>
      <c r="AE83" s="332"/>
      <c r="AF83" s="332"/>
      <c r="AG83" s="103"/>
      <c r="AH83" s="103"/>
      <c r="AI83" s="103"/>
    </row>
    <row r="84" spans="1:35" ht="14.45" customHeight="1" x14ac:dyDescent="0.25">
      <c r="A84" s="218"/>
      <c r="B84" s="219"/>
      <c r="C84" s="231"/>
      <c r="D84" s="215" t="s">
        <v>549</v>
      </c>
      <c r="E84" s="220">
        <v>1.8</v>
      </c>
      <c r="F84" s="273" t="s">
        <v>115</v>
      </c>
      <c r="G84" s="219"/>
      <c r="H84" s="219"/>
      <c r="I84" s="151"/>
      <c r="J84" s="151"/>
      <c r="K84" s="151"/>
      <c r="L84" s="151"/>
      <c r="M84" s="151"/>
      <c r="N84" s="151"/>
      <c r="O84" s="151"/>
      <c r="P84" s="151"/>
      <c r="Q84" s="190"/>
      <c r="R84" s="419"/>
      <c r="S84" s="331"/>
      <c r="T84" s="213"/>
      <c r="U84" s="213"/>
      <c r="V84" s="332"/>
      <c r="W84" s="331"/>
      <c r="X84" s="331"/>
      <c r="Y84" s="331"/>
      <c r="Z84" s="332"/>
      <c r="AA84" s="332"/>
      <c r="AB84" s="331"/>
      <c r="AC84" s="331"/>
      <c r="AD84" s="331"/>
      <c r="AE84" s="332"/>
      <c r="AF84" s="332"/>
      <c r="AG84" s="103"/>
      <c r="AH84" s="103"/>
      <c r="AI84" s="103"/>
    </row>
    <row r="85" spans="1:35" ht="14.45" customHeight="1" x14ac:dyDescent="0.25">
      <c r="A85" s="218"/>
      <c r="B85" s="219"/>
      <c r="C85" s="231"/>
      <c r="D85" s="215" t="s">
        <v>550</v>
      </c>
      <c r="E85" s="220">
        <v>41</v>
      </c>
      <c r="F85" s="273" t="s">
        <v>136</v>
      </c>
      <c r="G85" s="219"/>
      <c r="H85" s="219"/>
      <c r="I85" s="151"/>
      <c r="J85" s="151"/>
      <c r="K85" s="151"/>
      <c r="L85" s="151"/>
      <c r="M85" s="151"/>
      <c r="N85" s="151"/>
      <c r="O85" s="151"/>
      <c r="P85" s="151"/>
      <c r="Q85" s="190"/>
      <c r="R85" s="419"/>
      <c r="S85" s="331"/>
      <c r="T85" s="213"/>
      <c r="U85" s="213"/>
      <c r="V85" s="332"/>
      <c r="W85" s="331"/>
      <c r="X85" s="331"/>
      <c r="Y85" s="331"/>
      <c r="Z85" s="332"/>
      <c r="AA85" s="332"/>
      <c r="AB85" s="331"/>
      <c r="AC85" s="331"/>
      <c r="AD85" s="331"/>
      <c r="AE85" s="332"/>
      <c r="AF85" s="332"/>
      <c r="AG85" s="103"/>
      <c r="AH85" s="103"/>
      <c r="AI85" s="103"/>
    </row>
    <row r="86" spans="1:35" ht="14.45" customHeight="1" x14ac:dyDescent="0.25">
      <c r="A86" s="218"/>
      <c r="B86" s="219"/>
      <c r="C86" s="231"/>
      <c r="D86" s="215" t="s">
        <v>551</v>
      </c>
      <c r="E86" s="233">
        <v>6.7</v>
      </c>
      <c r="F86" s="273" t="s">
        <v>136</v>
      </c>
      <c r="G86" s="219"/>
      <c r="H86" s="219"/>
      <c r="I86" s="151"/>
      <c r="J86" s="151"/>
      <c r="K86" s="151"/>
      <c r="L86" s="151"/>
      <c r="M86" s="151"/>
      <c r="N86" s="151"/>
      <c r="O86" s="151"/>
      <c r="P86" s="151"/>
      <c r="Q86" s="190"/>
      <c r="R86" s="419"/>
      <c r="S86" s="331"/>
      <c r="T86" s="213"/>
      <c r="U86" s="213"/>
      <c r="V86" s="332"/>
      <c r="W86" s="331"/>
      <c r="X86" s="331"/>
      <c r="Y86" s="331"/>
      <c r="Z86" s="332"/>
      <c r="AA86" s="332"/>
      <c r="AB86" s="331"/>
      <c r="AC86" s="331"/>
      <c r="AD86" s="331"/>
      <c r="AE86" s="332"/>
      <c r="AF86" s="332"/>
      <c r="AG86" s="103"/>
      <c r="AH86" s="103"/>
      <c r="AI86" s="103"/>
    </row>
    <row r="87" spans="1:35" ht="14.45" customHeight="1" x14ac:dyDescent="0.25">
      <c r="A87" s="218"/>
      <c r="B87" s="219"/>
      <c r="C87" s="231"/>
      <c r="D87" s="215" t="s">
        <v>552</v>
      </c>
      <c r="E87" s="233">
        <v>4.9000000000000004</v>
      </c>
      <c r="F87" s="273" t="s">
        <v>136</v>
      </c>
      <c r="G87" s="219"/>
      <c r="H87" s="219"/>
      <c r="I87" s="151"/>
      <c r="J87" s="151"/>
      <c r="K87" s="151"/>
      <c r="L87" s="151"/>
      <c r="M87" s="151"/>
      <c r="N87" s="151"/>
      <c r="O87" s="151"/>
      <c r="P87" s="151"/>
      <c r="Q87" s="190"/>
      <c r="R87" s="419"/>
      <c r="S87" s="331"/>
      <c r="T87" s="213"/>
      <c r="U87" s="213"/>
      <c r="V87" s="332"/>
      <c r="W87" s="331"/>
      <c r="X87" s="331"/>
      <c r="Y87" s="331"/>
      <c r="Z87" s="332"/>
      <c r="AA87" s="332"/>
      <c r="AB87" s="331"/>
      <c r="AC87" s="331"/>
      <c r="AD87" s="331"/>
      <c r="AE87" s="332"/>
      <c r="AF87" s="332"/>
      <c r="AG87" s="103"/>
      <c r="AH87" s="103"/>
      <c r="AI87" s="103"/>
    </row>
    <row r="88" spans="1:35" ht="14.45" customHeight="1" x14ac:dyDescent="0.25">
      <c r="A88" s="218"/>
      <c r="B88" s="219"/>
      <c r="C88" s="231"/>
      <c r="D88" s="215" t="s">
        <v>726</v>
      </c>
      <c r="E88" s="233">
        <v>180</v>
      </c>
      <c r="F88" s="273" t="s">
        <v>53</v>
      </c>
      <c r="G88" s="219"/>
      <c r="H88" s="219"/>
      <c r="I88" s="151"/>
      <c r="J88" s="151"/>
      <c r="K88" s="151"/>
      <c r="L88" s="151"/>
      <c r="M88" s="151"/>
      <c r="N88" s="151"/>
      <c r="O88" s="151"/>
      <c r="P88" s="151"/>
      <c r="Q88" s="190"/>
      <c r="R88" s="419"/>
      <c r="S88" s="331"/>
      <c r="T88" s="213"/>
      <c r="U88" s="213"/>
      <c r="V88" s="332"/>
      <c r="W88" s="331"/>
      <c r="X88" s="331"/>
      <c r="Y88" s="331"/>
      <c r="Z88" s="332"/>
      <c r="AA88" s="332"/>
      <c r="AB88" s="331"/>
      <c r="AC88" s="331"/>
      <c r="AD88" s="331"/>
      <c r="AE88" s="332"/>
      <c r="AF88" s="332"/>
      <c r="AG88" s="103"/>
      <c r="AH88" s="103"/>
      <c r="AI88" s="103"/>
    </row>
    <row r="89" spans="1:35" ht="14.45" customHeight="1" x14ac:dyDescent="0.25">
      <c r="A89" s="218"/>
      <c r="B89" s="219"/>
      <c r="C89" s="231"/>
      <c r="D89" s="215" t="s">
        <v>553</v>
      </c>
      <c r="E89" s="233">
        <v>1.1000000000000001</v>
      </c>
      <c r="F89" s="273" t="s">
        <v>274</v>
      </c>
      <c r="G89" s="219"/>
      <c r="H89" s="219"/>
      <c r="I89" s="151"/>
      <c r="J89" s="151"/>
      <c r="K89" s="151"/>
      <c r="L89" s="151"/>
      <c r="M89" s="151"/>
      <c r="N89" s="151"/>
      <c r="O89" s="151"/>
      <c r="P89" s="151"/>
      <c r="Q89" s="190"/>
      <c r="R89" s="419"/>
      <c r="S89" s="331"/>
      <c r="T89" s="213"/>
      <c r="U89" s="213"/>
      <c r="V89" s="332"/>
      <c r="W89" s="331"/>
      <c r="X89" s="331"/>
      <c r="Y89" s="331"/>
      <c r="Z89" s="332"/>
      <c r="AA89" s="332"/>
      <c r="AB89" s="331"/>
      <c r="AC89" s="331"/>
      <c r="AD89" s="331"/>
      <c r="AE89" s="332"/>
      <c r="AF89" s="332"/>
      <c r="AG89" s="103"/>
      <c r="AH89" s="103"/>
      <c r="AI89" s="103"/>
    </row>
    <row r="90" spans="1:35" ht="14.45" customHeight="1" x14ac:dyDescent="0.25">
      <c r="A90" s="218"/>
      <c r="B90" s="219"/>
      <c r="C90" s="231"/>
      <c r="D90" s="215" t="s">
        <v>554</v>
      </c>
      <c r="E90" s="233">
        <v>33</v>
      </c>
      <c r="F90" s="273" t="s">
        <v>137</v>
      </c>
      <c r="G90" s="219"/>
      <c r="H90" s="219"/>
      <c r="I90" s="151"/>
      <c r="J90" s="151"/>
      <c r="K90" s="151"/>
      <c r="L90" s="151"/>
      <c r="M90" s="151"/>
      <c r="N90" s="151"/>
      <c r="O90" s="151"/>
      <c r="P90" s="151"/>
      <c r="Q90" s="190"/>
      <c r="R90" s="419"/>
      <c r="S90" s="331"/>
      <c r="T90" s="213"/>
      <c r="U90" s="213"/>
      <c r="V90" s="332"/>
      <c r="W90" s="331"/>
      <c r="X90" s="331"/>
      <c r="Y90" s="331"/>
      <c r="Z90" s="332"/>
      <c r="AA90" s="332"/>
      <c r="AB90" s="331"/>
      <c r="AC90" s="331"/>
      <c r="AD90" s="331"/>
      <c r="AE90" s="332"/>
      <c r="AF90" s="332"/>
      <c r="AG90" s="103"/>
      <c r="AH90" s="103"/>
      <c r="AI90" s="103"/>
    </row>
    <row r="91" spans="1:35" ht="14.45" customHeight="1" x14ac:dyDescent="0.25">
      <c r="A91" s="218"/>
      <c r="B91" s="219"/>
      <c r="C91" s="231"/>
      <c r="D91" s="215" t="s">
        <v>555</v>
      </c>
      <c r="E91" s="233">
        <v>1.9</v>
      </c>
      <c r="F91" s="273" t="s">
        <v>0</v>
      </c>
      <c r="G91" s="219"/>
      <c r="H91" s="219"/>
      <c r="I91" s="151"/>
      <c r="J91" s="151"/>
      <c r="K91" s="151"/>
      <c r="L91" s="151"/>
      <c r="M91" s="151"/>
      <c r="N91" s="151"/>
      <c r="O91" s="151"/>
      <c r="P91" s="151"/>
      <c r="Q91" s="190"/>
      <c r="R91" s="419"/>
      <c r="S91" s="331"/>
      <c r="T91" s="213"/>
      <c r="U91" s="213"/>
      <c r="V91" s="332"/>
      <c r="W91" s="331"/>
      <c r="X91" s="331"/>
      <c r="Y91" s="331"/>
      <c r="Z91" s="332"/>
      <c r="AA91" s="332"/>
      <c r="AB91" s="331"/>
      <c r="AC91" s="331"/>
      <c r="AD91" s="331"/>
      <c r="AE91" s="332"/>
      <c r="AF91" s="332"/>
      <c r="AG91" s="103"/>
      <c r="AH91" s="103"/>
      <c r="AI91" s="103"/>
    </row>
    <row r="92" spans="1:35" ht="14.45" customHeight="1" x14ac:dyDescent="0.25">
      <c r="A92" s="218"/>
      <c r="B92" s="219"/>
      <c r="C92" s="231"/>
      <c r="D92" s="215" t="s">
        <v>561</v>
      </c>
      <c r="E92" s="233">
        <v>0.8</v>
      </c>
      <c r="F92" s="273" t="s">
        <v>0</v>
      </c>
      <c r="G92" s="219"/>
      <c r="H92" s="219"/>
      <c r="I92" s="151"/>
      <c r="J92" s="151"/>
      <c r="K92" s="151"/>
      <c r="L92" s="151"/>
      <c r="M92" s="151"/>
      <c r="N92" s="151"/>
      <c r="O92" s="151"/>
      <c r="P92" s="151"/>
      <c r="Q92" s="190"/>
      <c r="R92" s="419"/>
      <c r="S92" s="331"/>
      <c r="T92" s="213"/>
      <c r="U92" s="213"/>
      <c r="V92" s="332"/>
      <c r="W92" s="331"/>
      <c r="X92" s="331"/>
      <c r="Y92" s="331"/>
      <c r="Z92" s="332"/>
      <c r="AA92" s="332"/>
      <c r="AB92" s="331"/>
      <c r="AC92" s="331"/>
      <c r="AD92" s="331"/>
      <c r="AE92" s="332"/>
      <c r="AF92" s="332"/>
      <c r="AG92" s="103"/>
      <c r="AH92" s="103"/>
      <c r="AI92" s="103"/>
    </row>
    <row r="93" spans="1:35" ht="14.45" customHeight="1" thickBot="1" x14ac:dyDescent="0.3">
      <c r="A93" s="336"/>
      <c r="B93" s="300"/>
      <c r="C93" s="337"/>
      <c r="D93" s="301" t="s">
        <v>556</v>
      </c>
      <c r="E93" s="399">
        <v>50</v>
      </c>
      <c r="F93" s="302" t="s">
        <v>381</v>
      </c>
      <c r="G93" s="219"/>
      <c r="H93" s="219"/>
      <c r="I93" s="151"/>
      <c r="J93" s="151"/>
      <c r="K93" s="151"/>
      <c r="L93" s="151"/>
      <c r="M93" s="151"/>
      <c r="N93" s="151"/>
      <c r="O93" s="151"/>
      <c r="P93" s="151"/>
      <c r="Q93" s="190"/>
      <c r="R93" s="419"/>
      <c r="S93" s="331"/>
      <c r="T93" s="213"/>
      <c r="U93" s="213"/>
      <c r="V93" s="332"/>
      <c r="W93" s="331"/>
      <c r="X93" s="331"/>
      <c r="Y93" s="331"/>
      <c r="Z93" s="332"/>
      <c r="AA93" s="332"/>
      <c r="AB93" s="331"/>
      <c r="AC93" s="331"/>
      <c r="AD93" s="331"/>
      <c r="AE93" s="332"/>
      <c r="AF93" s="332"/>
      <c r="AG93" s="103"/>
      <c r="AH93" s="103"/>
      <c r="AI93" s="103"/>
    </row>
    <row r="94" spans="1:35" ht="18" customHeight="1" thickBot="1" x14ac:dyDescent="0.25">
      <c r="A94" s="218"/>
      <c r="B94" s="219"/>
      <c r="C94" s="231"/>
      <c r="D94" s="215"/>
      <c r="E94" s="335"/>
      <c r="F94" s="338"/>
      <c r="G94" s="219"/>
      <c r="H94" s="219"/>
      <c r="I94" s="151"/>
      <c r="J94" s="151"/>
      <c r="K94" s="151"/>
      <c r="L94" s="151"/>
      <c r="M94" s="151"/>
      <c r="N94" s="151"/>
      <c r="O94" s="151"/>
      <c r="P94" s="151"/>
      <c r="Q94" s="190"/>
      <c r="R94" s="419"/>
      <c r="S94" s="331"/>
      <c r="T94" s="213"/>
      <c r="U94" s="213"/>
      <c r="V94" s="332"/>
      <c r="W94" s="331"/>
      <c r="X94" s="331"/>
      <c r="Y94" s="331"/>
      <c r="Z94" s="332"/>
      <c r="AA94" s="332"/>
      <c r="AB94" s="331"/>
      <c r="AC94" s="331"/>
      <c r="AD94" s="331"/>
      <c r="AE94" s="332"/>
      <c r="AF94" s="332"/>
      <c r="AG94" s="103"/>
      <c r="AH94" s="103"/>
      <c r="AI94" s="103"/>
    </row>
    <row r="95" spans="1:35" ht="18" customHeight="1" x14ac:dyDescent="0.25">
      <c r="A95" s="295"/>
      <c r="B95" s="296"/>
      <c r="C95" s="299"/>
      <c r="D95" s="346" t="s">
        <v>534</v>
      </c>
      <c r="E95" s="405" t="s">
        <v>759</v>
      </c>
      <c r="F95" s="298"/>
      <c r="G95" s="219"/>
      <c r="H95" s="219"/>
      <c r="I95" s="151"/>
      <c r="J95" s="151"/>
      <c r="K95" s="151"/>
      <c r="L95" s="151"/>
      <c r="M95" s="151"/>
      <c r="N95" s="151"/>
      <c r="O95" s="151"/>
      <c r="P95" s="151"/>
      <c r="Q95" s="190"/>
      <c r="R95" s="419"/>
      <c r="S95" s="331"/>
      <c r="T95" s="213"/>
      <c r="U95" s="213"/>
      <c r="V95" s="332"/>
      <c r="W95" s="331"/>
      <c r="X95" s="331"/>
      <c r="Y95" s="331"/>
      <c r="Z95" s="332"/>
      <c r="AA95" s="332"/>
      <c r="AB95" s="331"/>
      <c r="AC95" s="331"/>
      <c r="AD95" s="331"/>
      <c r="AE95" s="332"/>
      <c r="AF95" s="332"/>
      <c r="AG95" s="103"/>
      <c r="AH95" s="103"/>
      <c r="AI95" s="103"/>
    </row>
    <row r="96" spans="1:35" ht="14.45" customHeight="1" x14ac:dyDescent="0.25">
      <c r="A96" s="218"/>
      <c r="B96" s="219"/>
      <c r="C96" s="219"/>
      <c r="D96" s="215" t="s">
        <v>549</v>
      </c>
      <c r="E96" s="233">
        <v>1.8</v>
      </c>
      <c r="F96" s="273" t="s">
        <v>115</v>
      </c>
      <c r="G96" s="219"/>
      <c r="H96" s="219"/>
      <c r="I96" s="151"/>
      <c r="J96" s="151"/>
      <c r="K96" s="151"/>
      <c r="L96" s="151"/>
      <c r="M96" s="151"/>
      <c r="N96" s="151"/>
      <c r="O96" s="151"/>
      <c r="P96" s="151"/>
      <c r="Q96" s="190"/>
      <c r="R96" s="419"/>
      <c r="S96" s="331"/>
      <c r="T96" s="213"/>
      <c r="U96" s="213"/>
      <c r="V96" s="332"/>
      <c r="W96" s="331"/>
      <c r="X96" s="331"/>
      <c r="Y96" s="331"/>
      <c r="Z96" s="332"/>
      <c r="AA96" s="332"/>
      <c r="AB96" s="331"/>
      <c r="AC96" s="331"/>
      <c r="AD96" s="331"/>
      <c r="AE96" s="332"/>
      <c r="AF96" s="332"/>
      <c r="AG96" s="103"/>
      <c r="AH96" s="103"/>
      <c r="AI96" s="103"/>
    </row>
    <row r="97" spans="1:35" ht="14.45" customHeight="1" x14ac:dyDescent="0.25">
      <c r="A97" s="218"/>
      <c r="B97" s="219"/>
      <c r="C97" s="219"/>
      <c r="D97" s="215" t="s">
        <v>550</v>
      </c>
      <c r="E97" s="233">
        <v>41</v>
      </c>
      <c r="F97" s="273" t="s">
        <v>136</v>
      </c>
      <c r="G97" s="219"/>
      <c r="H97" s="219"/>
      <c r="I97" s="151"/>
      <c r="J97" s="151"/>
      <c r="K97" s="151"/>
      <c r="L97" s="151"/>
      <c r="M97" s="151"/>
      <c r="N97" s="151"/>
      <c r="O97" s="151"/>
      <c r="P97" s="151"/>
      <c r="Q97" s="190"/>
      <c r="R97" s="419"/>
      <c r="S97" s="103"/>
      <c r="T97" s="6"/>
      <c r="U97" s="6"/>
      <c r="W97" s="103"/>
      <c r="X97" s="103"/>
      <c r="Y97" s="103"/>
      <c r="AB97" s="103"/>
      <c r="AC97" s="103"/>
      <c r="AD97" s="103"/>
      <c r="AG97" s="103"/>
      <c r="AH97" s="103"/>
      <c r="AI97" s="103"/>
    </row>
    <row r="98" spans="1:35" ht="14.45" customHeight="1" x14ac:dyDescent="0.25">
      <c r="A98" s="218"/>
      <c r="B98" s="219"/>
      <c r="C98" s="219"/>
      <c r="D98" s="215" t="s">
        <v>719</v>
      </c>
      <c r="E98" s="233">
        <v>6.7</v>
      </c>
      <c r="F98" s="273" t="s">
        <v>136</v>
      </c>
      <c r="G98" s="219"/>
      <c r="H98" s="219"/>
      <c r="I98" s="151"/>
      <c r="J98" s="151"/>
      <c r="K98" s="151"/>
      <c r="L98" s="151"/>
      <c r="M98" s="151"/>
      <c r="N98" s="151"/>
      <c r="O98" s="151"/>
      <c r="P98" s="151"/>
      <c r="Q98" s="190"/>
      <c r="R98" s="419"/>
      <c r="S98" s="103"/>
      <c r="T98" s="103"/>
      <c r="W98" s="103"/>
      <c r="X98" s="103"/>
      <c r="Y98" s="103"/>
      <c r="AB98" s="103"/>
      <c r="AC98" s="103"/>
      <c r="AD98" s="103"/>
      <c r="AG98" s="103"/>
      <c r="AH98" s="103"/>
      <c r="AI98" s="103"/>
    </row>
    <row r="99" spans="1:35" ht="14.45" customHeight="1" x14ac:dyDescent="0.25">
      <c r="A99" s="218"/>
      <c r="B99" s="219"/>
      <c r="C99" s="219"/>
      <c r="D99" s="215" t="s">
        <v>726</v>
      </c>
      <c r="E99" s="233">
        <v>530</v>
      </c>
      <c r="F99" s="273" t="s">
        <v>53</v>
      </c>
      <c r="G99" s="219"/>
      <c r="H99" s="219"/>
      <c r="I99" s="151"/>
      <c r="J99" s="151"/>
      <c r="K99" s="151"/>
      <c r="L99" s="151"/>
      <c r="M99" s="151"/>
      <c r="N99" s="151"/>
      <c r="O99" s="151"/>
      <c r="P99" s="151"/>
      <c r="Q99" s="190"/>
      <c r="R99" s="419"/>
      <c r="S99" s="103"/>
      <c r="T99" s="103"/>
      <c r="W99" s="103"/>
      <c r="X99" s="103"/>
      <c r="Y99" s="103"/>
      <c r="AB99" s="103"/>
      <c r="AC99" s="103"/>
      <c r="AD99" s="103"/>
      <c r="AG99" s="103"/>
      <c r="AH99" s="103"/>
      <c r="AI99" s="103"/>
    </row>
    <row r="100" spans="1:35" ht="14.25" customHeight="1" x14ac:dyDescent="0.25">
      <c r="A100" s="218"/>
      <c r="B100" s="219"/>
      <c r="C100" s="219"/>
      <c r="D100" s="215" t="s">
        <v>559</v>
      </c>
      <c r="E100" s="233">
        <v>0.8</v>
      </c>
      <c r="F100" s="273" t="s">
        <v>0</v>
      </c>
      <c r="G100" s="219"/>
      <c r="H100" s="219"/>
      <c r="I100" s="151"/>
      <c r="J100" s="151"/>
      <c r="K100" s="151"/>
      <c r="L100" s="151"/>
      <c r="M100" s="151"/>
      <c r="N100" s="151"/>
      <c r="O100" s="151"/>
      <c r="P100" s="151"/>
      <c r="Q100" s="190"/>
      <c r="R100" s="419"/>
      <c r="S100" s="103"/>
      <c r="T100" s="103"/>
      <c r="W100" s="103"/>
      <c r="X100" s="103"/>
      <c r="Y100" s="103"/>
      <c r="AB100" s="103"/>
      <c r="AC100" s="103"/>
      <c r="AD100" s="103"/>
      <c r="AG100" s="103"/>
      <c r="AH100" s="103"/>
      <c r="AI100" s="103"/>
    </row>
    <row r="101" spans="1:35" ht="14.45" customHeight="1" x14ac:dyDescent="0.25">
      <c r="A101" s="218"/>
      <c r="B101" s="219"/>
      <c r="C101" s="219"/>
      <c r="D101" s="215" t="s">
        <v>557</v>
      </c>
      <c r="E101" s="233">
        <v>36</v>
      </c>
      <c r="F101" s="273" t="s">
        <v>136</v>
      </c>
      <c r="G101" s="219"/>
      <c r="H101" s="219"/>
      <c r="I101" s="155"/>
      <c r="J101" s="156"/>
      <c r="K101" s="151"/>
      <c r="L101" s="151"/>
      <c r="M101" s="151"/>
      <c r="N101" s="151"/>
      <c r="O101" s="151"/>
      <c r="P101" s="151"/>
      <c r="Q101" s="190"/>
      <c r="R101" s="419"/>
      <c r="S101" s="103"/>
      <c r="T101" s="103"/>
      <c r="W101" s="103"/>
      <c r="X101" s="103"/>
      <c r="Y101" s="103"/>
      <c r="AB101" s="103"/>
      <c r="AC101" s="103"/>
      <c r="AD101" s="103"/>
      <c r="AG101" s="103"/>
      <c r="AH101" s="103"/>
      <c r="AI101" s="103"/>
    </row>
    <row r="102" spans="1:35" ht="14.45" customHeight="1" x14ac:dyDescent="0.25">
      <c r="A102" s="218"/>
      <c r="B102" s="219"/>
      <c r="C102" s="219"/>
      <c r="D102" s="215" t="s">
        <v>556</v>
      </c>
      <c r="E102" s="233">
        <v>50</v>
      </c>
      <c r="F102" s="273" t="s">
        <v>381</v>
      </c>
      <c r="G102" s="219"/>
      <c r="H102" s="219"/>
      <c r="I102" s="151"/>
      <c r="J102" s="151"/>
      <c r="K102" s="151"/>
      <c r="L102" s="151"/>
      <c r="M102" s="151"/>
      <c r="N102" s="151"/>
      <c r="O102" s="151"/>
      <c r="P102" s="151"/>
      <c r="Q102" s="190"/>
      <c r="R102" s="419"/>
      <c r="S102" s="103"/>
      <c r="T102" s="103"/>
      <c r="W102" s="103"/>
      <c r="X102" s="103"/>
      <c r="Y102" s="103"/>
      <c r="AB102" s="103"/>
      <c r="AC102" s="103"/>
      <c r="AD102" s="103"/>
      <c r="AG102" s="103"/>
      <c r="AH102" s="103"/>
      <c r="AI102" s="103"/>
    </row>
    <row r="103" spans="1:35" ht="18" customHeight="1" x14ac:dyDescent="0.2">
      <c r="A103" s="232"/>
      <c r="B103" s="231"/>
      <c r="C103" s="219"/>
      <c r="D103" s="339" t="s">
        <v>738</v>
      </c>
      <c r="E103" s="248"/>
      <c r="F103" s="273"/>
      <c r="G103" s="219"/>
      <c r="H103" s="219"/>
      <c r="I103" s="151"/>
      <c r="J103" s="151"/>
      <c r="K103" s="151"/>
      <c r="L103" s="151"/>
      <c r="M103" s="151"/>
      <c r="N103" s="151"/>
      <c r="O103" s="151"/>
      <c r="P103" s="151"/>
      <c r="Q103" s="190"/>
      <c r="R103" s="419"/>
      <c r="S103" s="103"/>
      <c r="T103" s="103"/>
      <c r="W103" s="103"/>
      <c r="X103" s="103"/>
      <c r="Y103" s="103"/>
      <c r="AB103" s="103"/>
      <c r="AC103" s="103"/>
      <c r="AD103" s="103"/>
      <c r="AG103" s="103"/>
      <c r="AH103" s="103"/>
      <c r="AI103" s="103"/>
    </row>
    <row r="104" spans="1:35" ht="14.45" customHeight="1" x14ac:dyDescent="0.25">
      <c r="A104" s="218"/>
      <c r="B104" s="219"/>
      <c r="C104" s="219"/>
      <c r="D104" s="215" t="s">
        <v>560</v>
      </c>
      <c r="E104" s="400">
        <v>0</v>
      </c>
      <c r="F104" s="273" t="s">
        <v>0</v>
      </c>
      <c r="G104" s="219"/>
      <c r="H104" s="219"/>
      <c r="I104" s="151"/>
      <c r="J104" s="151"/>
      <c r="K104" s="151"/>
      <c r="L104" s="151"/>
      <c r="M104" s="151"/>
      <c r="N104" s="151"/>
      <c r="O104" s="151"/>
      <c r="P104" s="151"/>
      <c r="Q104" s="190"/>
      <c r="R104" s="419"/>
      <c r="S104" s="103"/>
      <c r="T104" s="103"/>
      <c r="W104" s="103"/>
      <c r="X104" s="103"/>
      <c r="Y104" s="103"/>
      <c r="AB104" s="103"/>
      <c r="AC104" s="103"/>
      <c r="AD104" s="103"/>
      <c r="AG104" s="103"/>
      <c r="AH104" s="103"/>
      <c r="AI104" s="103"/>
    </row>
    <row r="105" spans="1:35" ht="14.45" customHeight="1" thickBot="1" x14ac:dyDescent="0.3">
      <c r="A105" s="269"/>
      <c r="B105" s="300"/>
      <c r="C105" s="300"/>
      <c r="D105" s="301" t="s">
        <v>558</v>
      </c>
      <c r="E105" s="401">
        <v>0</v>
      </c>
      <c r="F105" s="302" t="s">
        <v>136</v>
      </c>
      <c r="G105" s="219"/>
      <c r="H105" s="219"/>
      <c r="I105" s="151"/>
      <c r="J105" s="151"/>
      <c r="K105" s="151"/>
      <c r="L105" s="151"/>
      <c r="M105" s="151"/>
      <c r="N105" s="151"/>
      <c r="O105" s="151"/>
      <c r="P105" s="151"/>
      <c r="Q105" s="190"/>
      <c r="R105" s="419"/>
      <c r="S105" s="103"/>
      <c r="T105" s="103"/>
      <c r="W105" s="103"/>
      <c r="X105" s="103"/>
      <c r="Y105" s="103"/>
      <c r="AB105" s="103"/>
      <c r="AC105" s="103"/>
      <c r="AD105" s="103"/>
      <c r="AG105" s="103"/>
      <c r="AH105" s="103"/>
      <c r="AI105" s="103"/>
    </row>
    <row r="106" spans="1:35" ht="24" customHeight="1" thickBot="1" x14ac:dyDescent="0.25">
      <c r="A106" s="218"/>
      <c r="B106" s="219"/>
      <c r="C106" s="219"/>
      <c r="D106" s="215"/>
      <c r="E106" s="329"/>
      <c r="F106" s="219"/>
      <c r="G106" s="219"/>
      <c r="H106" s="219"/>
      <c r="I106" s="151"/>
      <c r="J106" s="151"/>
      <c r="K106" s="151"/>
      <c r="L106" s="151"/>
      <c r="M106" s="151"/>
      <c r="N106" s="151"/>
      <c r="O106" s="151"/>
      <c r="P106" s="151"/>
      <c r="Q106" s="190"/>
      <c r="R106" s="419"/>
      <c r="S106" s="103"/>
      <c r="T106" s="103"/>
      <c r="W106" s="103"/>
      <c r="X106" s="103"/>
      <c r="Y106" s="103"/>
      <c r="AB106" s="103"/>
      <c r="AC106" s="103"/>
      <c r="AD106" s="103"/>
      <c r="AG106" s="103"/>
      <c r="AH106" s="103"/>
      <c r="AI106" s="103"/>
    </row>
    <row r="107" spans="1:35" ht="13.5" thickBot="1" x14ac:dyDescent="0.25">
      <c r="A107" s="414"/>
      <c r="B107" s="415"/>
      <c r="C107" s="416"/>
      <c r="D107" s="416"/>
      <c r="E107" s="416"/>
      <c r="F107" s="416"/>
      <c r="G107" s="416"/>
      <c r="H107" s="416"/>
      <c r="I107" s="416"/>
      <c r="J107" s="416"/>
      <c r="K107" s="416"/>
      <c r="L107" s="416"/>
      <c r="M107" s="416"/>
      <c r="N107" s="416"/>
      <c r="O107" s="416"/>
      <c r="P107" s="416"/>
      <c r="Q107" s="416"/>
      <c r="R107" s="417"/>
      <c r="S107" s="103"/>
      <c r="T107" s="103"/>
      <c r="W107" s="103"/>
      <c r="X107" s="103"/>
      <c r="Y107" s="103"/>
      <c r="AB107" s="103"/>
      <c r="AC107" s="103"/>
      <c r="AD107" s="103"/>
      <c r="AG107" s="103"/>
      <c r="AH107" s="103"/>
      <c r="AI107" s="103"/>
    </row>
    <row r="108" spans="1:35" x14ac:dyDescent="0.2">
      <c r="B108" s="146"/>
      <c r="C108" s="146"/>
      <c r="D108" s="146"/>
      <c r="E108" s="146"/>
      <c r="F108" s="146"/>
      <c r="G108" s="146"/>
      <c r="H108" s="146"/>
      <c r="I108" s="146"/>
      <c r="J108" s="146"/>
      <c r="K108" s="146"/>
      <c r="L108" s="146"/>
      <c r="R108" s="103"/>
      <c r="S108" s="103"/>
      <c r="T108" s="103"/>
      <c r="W108" s="103"/>
      <c r="X108" s="103"/>
      <c r="Y108" s="103"/>
      <c r="AB108" s="103"/>
      <c r="AC108" s="103"/>
      <c r="AD108" s="103"/>
      <c r="AG108" s="103"/>
      <c r="AH108" s="103"/>
      <c r="AI108" s="103"/>
    </row>
    <row r="109" spans="1:35" x14ac:dyDescent="0.2">
      <c r="B109" s="146"/>
      <c r="C109" s="146"/>
      <c r="D109" s="146"/>
      <c r="E109" s="146"/>
      <c r="F109" s="146"/>
      <c r="G109" s="146"/>
      <c r="H109" s="146"/>
      <c r="I109" s="146"/>
      <c r="J109" s="146"/>
      <c r="K109" s="146"/>
      <c r="L109" s="146"/>
      <c r="R109" s="103"/>
      <c r="S109" s="103"/>
      <c r="T109" s="103"/>
      <c r="W109" s="103"/>
      <c r="X109" s="103"/>
      <c r="Y109" s="103"/>
      <c r="AB109" s="103"/>
      <c r="AC109" s="103"/>
      <c r="AD109" s="103"/>
      <c r="AG109" s="103"/>
      <c r="AH109" s="103"/>
      <c r="AI109" s="103"/>
    </row>
    <row r="110" spans="1:35" x14ac:dyDescent="0.2">
      <c r="B110" s="146"/>
      <c r="C110" s="146"/>
      <c r="D110" s="146"/>
      <c r="E110" s="146"/>
      <c r="F110" s="146"/>
      <c r="G110" s="146"/>
      <c r="H110" s="146"/>
      <c r="I110" s="146"/>
      <c r="J110" s="146"/>
      <c r="K110" s="146"/>
      <c r="L110" s="146"/>
      <c r="R110" s="103"/>
      <c r="S110" s="103"/>
      <c r="T110" s="103"/>
      <c r="W110" s="103"/>
      <c r="X110" s="103"/>
      <c r="Y110" s="103"/>
      <c r="AB110" s="103"/>
      <c r="AC110" s="103"/>
      <c r="AD110" s="103"/>
      <c r="AG110" s="103"/>
      <c r="AH110" s="103"/>
      <c r="AI110" s="103"/>
    </row>
    <row r="111" spans="1:35" x14ac:dyDescent="0.2">
      <c r="B111" s="146"/>
      <c r="C111" s="146"/>
      <c r="D111" s="146"/>
      <c r="E111" s="146"/>
      <c r="F111" s="146"/>
      <c r="G111" s="146"/>
      <c r="H111" s="146"/>
      <c r="I111" s="146"/>
      <c r="J111" s="146"/>
      <c r="K111" s="146"/>
      <c r="L111" s="146"/>
      <c r="R111" s="103"/>
      <c r="S111" s="103"/>
      <c r="T111" s="103"/>
      <c r="W111" s="103"/>
      <c r="X111" s="103"/>
      <c r="Y111" s="103"/>
      <c r="AB111" s="103"/>
      <c r="AC111" s="103"/>
      <c r="AD111" s="103"/>
      <c r="AG111" s="103"/>
      <c r="AH111" s="103"/>
      <c r="AI111" s="103"/>
    </row>
    <row r="112" spans="1:35" x14ac:dyDescent="0.2">
      <c r="B112" s="146"/>
      <c r="C112" s="146"/>
      <c r="D112" s="146"/>
      <c r="E112" s="146"/>
      <c r="F112" s="146"/>
      <c r="G112" s="146"/>
      <c r="H112" s="146"/>
      <c r="I112" s="146"/>
      <c r="J112" s="146"/>
      <c r="K112" s="146"/>
      <c r="L112" s="146"/>
      <c r="R112" s="103"/>
      <c r="S112" s="103"/>
      <c r="T112" s="103"/>
      <c r="W112" s="103"/>
      <c r="X112" s="103"/>
      <c r="Y112" s="103"/>
      <c r="AB112" s="103"/>
      <c r="AC112" s="103"/>
      <c r="AD112" s="103"/>
      <c r="AG112" s="103"/>
      <c r="AH112" s="103"/>
      <c r="AI112" s="103"/>
    </row>
    <row r="113" spans="2:35" x14ac:dyDescent="0.2">
      <c r="B113" s="146"/>
      <c r="C113" s="146"/>
      <c r="D113" s="146"/>
      <c r="E113" s="146"/>
      <c r="F113" s="146"/>
      <c r="G113" s="146"/>
      <c r="H113" s="146"/>
      <c r="I113" s="146"/>
      <c r="J113" s="146"/>
      <c r="K113" s="146"/>
      <c r="L113" s="146"/>
      <c r="R113" s="103"/>
      <c r="S113" s="103"/>
      <c r="T113" s="103"/>
      <c r="W113" s="103"/>
      <c r="X113" s="103"/>
      <c r="Y113" s="103"/>
      <c r="AB113" s="103"/>
      <c r="AC113" s="103"/>
      <c r="AD113" s="103"/>
      <c r="AG113" s="103"/>
      <c r="AH113" s="103"/>
      <c r="AI113" s="103"/>
    </row>
    <row r="114" spans="2:35" x14ac:dyDescent="0.2">
      <c r="B114" s="146"/>
      <c r="C114" s="146"/>
      <c r="D114" s="146"/>
      <c r="E114" s="146"/>
      <c r="F114" s="146"/>
      <c r="G114" s="146"/>
      <c r="H114" s="146"/>
      <c r="I114" s="146"/>
      <c r="J114" s="146"/>
      <c r="K114" s="146"/>
      <c r="L114" s="146"/>
      <c r="R114" s="103"/>
      <c r="S114" s="103"/>
      <c r="T114" s="103"/>
      <c r="W114" s="103"/>
      <c r="X114" s="103"/>
      <c r="Y114" s="103"/>
      <c r="AB114" s="103"/>
      <c r="AC114" s="103"/>
      <c r="AD114" s="103"/>
      <c r="AG114" s="103"/>
      <c r="AH114" s="103"/>
      <c r="AI114" s="103"/>
    </row>
    <row r="115" spans="2:35" x14ac:dyDescent="0.2">
      <c r="B115" s="146"/>
      <c r="C115" s="146"/>
      <c r="D115" s="146"/>
      <c r="E115" s="146"/>
      <c r="F115" s="146"/>
      <c r="G115" s="146"/>
      <c r="H115" s="146"/>
      <c r="I115" s="146"/>
      <c r="J115" s="146"/>
      <c r="K115" s="146"/>
      <c r="L115" s="146"/>
      <c r="R115" s="103"/>
      <c r="S115" s="103"/>
      <c r="T115" s="103"/>
      <c r="W115" s="103"/>
      <c r="X115" s="103"/>
      <c r="Y115" s="103"/>
      <c r="AB115" s="103"/>
      <c r="AC115" s="103"/>
      <c r="AD115" s="103"/>
      <c r="AG115" s="103"/>
      <c r="AH115" s="103"/>
      <c r="AI115" s="103"/>
    </row>
    <row r="116" spans="2:35" x14ac:dyDescent="0.2">
      <c r="B116" s="146"/>
      <c r="C116" s="146"/>
      <c r="D116" s="146"/>
      <c r="E116" s="146"/>
      <c r="F116" s="146"/>
      <c r="G116" s="146"/>
      <c r="H116" s="146"/>
      <c r="I116" s="146"/>
      <c r="J116" s="146"/>
      <c r="K116" s="146"/>
      <c r="L116" s="146"/>
      <c r="R116" s="103"/>
      <c r="S116" s="103"/>
      <c r="T116" s="103"/>
      <c r="W116" s="103"/>
      <c r="X116" s="103"/>
      <c r="Y116" s="103"/>
      <c r="AB116" s="103"/>
      <c r="AC116" s="103"/>
      <c r="AD116" s="103"/>
      <c r="AG116" s="103"/>
      <c r="AH116" s="103"/>
      <c r="AI116" s="103"/>
    </row>
    <row r="117" spans="2:35" x14ac:dyDescent="0.2">
      <c r="B117" s="146"/>
      <c r="C117" s="146"/>
      <c r="D117" s="146"/>
      <c r="E117" s="146"/>
      <c r="F117" s="146"/>
      <c r="G117" s="146"/>
      <c r="H117" s="146"/>
      <c r="I117" s="146"/>
      <c r="J117" s="146"/>
      <c r="K117" s="146"/>
      <c r="L117" s="146"/>
      <c r="R117" s="103"/>
      <c r="S117" s="103"/>
      <c r="T117" s="103"/>
      <c r="W117" s="103"/>
      <c r="X117" s="103"/>
      <c r="Y117" s="103"/>
      <c r="AB117" s="103"/>
      <c r="AC117" s="103"/>
      <c r="AD117" s="103"/>
      <c r="AG117" s="103"/>
      <c r="AH117" s="103"/>
      <c r="AI117" s="103"/>
    </row>
    <row r="118" spans="2:35" x14ac:dyDescent="0.2">
      <c r="B118" s="146"/>
      <c r="C118" s="146"/>
      <c r="D118" s="146"/>
      <c r="E118" s="146"/>
      <c r="F118" s="146"/>
      <c r="G118" s="146"/>
      <c r="H118" s="146"/>
      <c r="I118" s="146"/>
      <c r="J118" s="146"/>
      <c r="K118" s="146"/>
      <c r="L118" s="146"/>
      <c r="R118" s="157"/>
      <c r="S118" s="157"/>
      <c r="T118" s="157"/>
      <c r="W118" s="157"/>
      <c r="X118" s="157"/>
      <c r="Y118" s="157"/>
      <c r="AB118" s="157"/>
      <c r="AC118" s="157"/>
      <c r="AD118" s="157"/>
      <c r="AG118" s="157"/>
      <c r="AH118" s="157"/>
      <c r="AI118" s="157"/>
    </row>
    <row r="119" spans="2:35" x14ac:dyDescent="0.2">
      <c r="B119" s="146"/>
      <c r="C119" s="146"/>
      <c r="D119" s="146"/>
      <c r="E119" s="146"/>
      <c r="F119" s="146"/>
      <c r="G119" s="146"/>
      <c r="H119" s="146"/>
      <c r="I119" s="146"/>
      <c r="J119" s="146"/>
      <c r="K119" s="146"/>
      <c r="L119" s="146"/>
      <c r="R119" s="157"/>
      <c r="S119" s="157"/>
      <c r="T119" s="157"/>
      <c r="W119" s="157"/>
      <c r="X119" s="157"/>
      <c r="Y119" s="157"/>
      <c r="AB119" s="157"/>
      <c r="AC119" s="157"/>
      <c r="AD119" s="157"/>
      <c r="AG119" s="157"/>
      <c r="AH119" s="157"/>
      <c r="AI119" s="157"/>
    </row>
    <row r="120" spans="2:35" x14ac:dyDescent="0.2">
      <c r="B120" s="146"/>
      <c r="C120" s="146"/>
      <c r="D120" s="146"/>
      <c r="E120" s="146"/>
      <c r="F120" s="146"/>
      <c r="G120" s="146"/>
      <c r="H120" s="146"/>
      <c r="I120" s="146"/>
      <c r="J120" s="146"/>
      <c r="K120" s="146"/>
      <c r="L120" s="146"/>
      <c r="R120" s="157"/>
      <c r="S120" s="103"/>
      <c r="T120" s="103"/>
      <c r="W120" s="157"/>
      <c r="X120" s="103"/>
      <c r="Y120" s="103"/>
      <c r="AB120" s="157"/>
      <c r="AC120" s="103"/>
      <c r="AD120" s="103"/>
      <c r="AG120" s="157"/>
      <c r="AH120" s="103"/>
      <c r="AI120" s="103"/>
    </row>
    <row r="121" spans="2:35" x14ac:dyDescent="0.2">
      <c r="B121" s="146"/>
      <c r="C121" s="146"/>
      <c r="D121" s="146"/>
      <c r="E121" s="146"/>
      <c r="F121" s="146"/>
      <c r="G121" s="146"/>
      <c r="H121" s="146"/>
      <c r="I121" s="146"/>
      <c r="J121" s="146"/>
      <c r="K121" s="146"/>
      <c r="L121" s="146"/>
      <c r="R121" s="103"/>
      <c r="S121" s="103"/>
      <c r="T121" s="103"/>
      <c r="W121" s="103"/>
      <c r="X121" s="103"/>
      <c r="Y121" s="103"/>
      <c r="AB121" s="103"/>
      <c r="AC121" s="103"/>
      <c r="AD121" s="103"/>
      <c r="AG121" s="103"/>
      <c r="AH121" s="103"/>
      <c r="AI121" s="103"/>
    </row>
    <row r="122" spans="2:35" x14ac:dyDescent="0.2">
      <c r="B122" s="146"/>
      <c r="C122" s="146"/>
      <c r="D122" s="146"/>
      <c r="E122" s="146"/>
      <c r="F122" s="146"/>
      <c r="G122" s="146"/>
      <c r="H122" s="146"/>
      <c r="I122" s="146"/>
      <c r="J122" s="146"/>
      <c r="K122" s="146"/>
      <c r="L122" s="146"/>
      <c r="R122" s="103"/>
      <c r="S122" s="103"/>
      <c r="T122" s="103"/>
      <c r="W122" s="103"/>
      <c r="X122" s="103"/>
      <c r="Y122" s="103"/>
      <c r="AB122" s="103"/>
      <c r="AC122" s="103"/>
      <c r="AD122" s="103"/>
      <c r="AG122" s="103"/>
      <c r="AH122" s="103"/>
      <c r="AI122" s="103"/>
    </row>
    <row r="123" spans="2:35" x14ac:dyDescent="0.2">
      <c r="B123" s="146"/>
      <c r="C123" s="146"/>
      <c r="D123" s="146"/>
      <c r="E123" s="146"/>
      <c r="F123" s="146"/>
      <c r="G123" s="146"/>
      <c r="H123" s="146"/>
      <c r="I123" s="146"/>
      <c r="J123" s="146"/>
      <c r="K123" s="146"/>
      <c r="L123" s="146"/>
      <c r="R123" s="157"/>
      <c r="S123" s="157"/>
      <c r="T123" s="157"/>
      <c r="W123" s="157"/>
      <c r="X123" s="157"/>
      <c r="Y123" s="157"/>
      <c r="AB123" s="157"/>
      <c r="AC123" s="157"/>
      <c r="AD123" s="157"/>
      <c r="AG123" s="157"/>
      <c r="AH123" s="157"/>
      <c r="AI123" s="157"/>
    </row>
    <row r="124" spans="2:35" x14ac:dyDescent="0.2">
      <c r="B124" s="146"/>
      <c r="C124" s="146"/>
      <c r="D124" s="146"/>
      <c r="E124" s="146"/>
      <c r="F124" s="146"/>
      <c r="G124" s="146"/>
      <c r="H124" s="146"/>
      <c r="I124" s="146"/>
      <c r="J124" s="146"/>
      <c r="K124" s="146"/>
      <c r="L124" s="146"/>
      <c r="R124" s="157"/>
      <c r="S124" s="157"/>
      <c r="T124" s="157"/>
      <c r="W124" s="157"/>
      <c r="X124" s="157"/>
      <c r="Y124" s="157"/>
      <c r="AB124" s="157"/>
      <c r="AC124" s="157"/>
      <c r="AD124" s="157"/>
      <c r="AG124" s="157"/>
      <c r="AH124" s="157"/>
      <c r="AI124" s="157"/>
    </row>
    <row r="125" spans="2:35" x14ac:dyDescent="0.2">
      <c r="B125" s="146"/>
      <c r="C125" s="146"/>
      <c r="D125" s="146"/>
      <c r="E125" s="146"/>
      <c r="F125" s="146"/>
      <c r="G125" s="146"/>
      <c r="H125" s="146"/>
      <c r="I125" s="146"/>
      <c r="J125" s="146"/>
      <c r="K125" s="146"/>
      <c r="L125" s="146"/>
      <c r="R125" s="157"/>
      <c r="S125" s="157"/>
      <c r="T125" s="157"/>
      <c r="W125" s="157"/>
      <c r="X125" s="157"/>
      <c r="Y125" s="157"/>
      <c r="AB125" s="157"/>
      <c r="AC125" s="157"/>
      <c r="AD125" s="157"/>
      <c r="AG125" s="157"/>
      <c r="AH125" s="157"/>
      <c r="AI125" s="157"/>
    </row>
    <row r="126" spans="2:35" x14ac:dyDescent="0.2">
      <c r="B126" s="146"/>
      <c r="C126" s="146"/>
      <c r="D126" s="146"/>
      <c r="E126" s="146"/>
      <c r="F126" s="146"/>
      <c r="G126" s="146"/>
      <c r="H126" s="146"/>
      <c r="I126" s="146"/>
      <c r="J126" s="146"/>
      <c r="K126" s="146"/>
      <c r="L126" s="146"/>
      <c r="R126" s="157"/>
      <c r="S126" s="157"/>
      <c r="T126" s="157"/>
      <c r="W126" s="157"/>
      <c r="X126" s="157"/>
      <c r="Y126" s="157"/>
      <c r="AB126" s="157"/>
      <c r="AC126" s="157"/>
      <c r="AD126" s="157"/>
      <c r="AG126" s="157"/>
      <c r="AH126" s="157"/>
      <c r="AI126" s="157"/>
    </row>
    <row r="127" spans="2:35" x14ac:dyDescent="0.2">
      <c r="B127" s="146"/>
      <c r="C127" s="146"/>
      <c r="D127" s="146"/>
      <c r="E127" s="146"/>
      <c r="F127" s="146"/>
      <c r="G127" s="146"/>
      <c r="H127" s="146"/>
      <c r="I127" s="146"/>
      <c r="J127" s="146"/>
      <c r="K127" s="146"/>
      <c r="L127" s="146"/>
      <c r="R127" s="157"/>
      <c r="S127" s="157"/>
      <c r="T127" s="157"/>
      <c r="W127" s="157"/>
      <c r="X127" s="157"/>
      <c r="Y127" s="157"/>
      <c r="AB127" s="157"/>
      <c r="AC127" s="157"/>
      <c r="AD127" s="157"/>
      <c r="AG127" s="157"/>
      <c r="AH127" s="157"/>
      <c r="AI127" s="157"/>
    </row>
    <row r="128" spans="2:35" x14ac:dyDescent="0.2">
      <c r="B128" s="146"/>
      <c r="C128" s="146"/>
      <c r="D128" s="146"/>
      <c r="E128" s="146"/>
      <c r="F128" s="146"/>
      <c r="G128" s="146"/>
      <c r="H128" s="146"/>
      <c r="I128" s="146"/>
      <c r="J128" s="146"/>
      <c r="K128" s="146"/>
      <c r="L128" s="146"/>
      <c r="R128" s="157"/>
      <c r="S128" s="157"/>
      <c r="T128" s="157"/>
      <c r="W128" s="157"/>
      <c r="X128" s="157"/>
      <c r="Y128" s="157"/>
      <c r="AB128" s="157"/>
      <c r="AC128" s="157"/>
      <c r="AD128" s="157"/>
      <c r="AG128" s="157"/>
      <c r="AH128" s="157"/>
      <c r="AI128" s="157"/>
    </row>
    <row r="129" spans="2:35" x14ac:dyDescent="0.2">
      <c r="B129" s="146"/>
      <c r="C129" s="146"/>
      <c r="D129" s="146"/>
      <c r="E129" s="146"/>
      <c r="F129" s="146"/>
      <c r="G129" s="146"/>
      <c r="H129" s="146"/>
      <c r="I129" s="146"/>
      <c r="J129" s="146"/>
      <c r="K129" s="146"/>
      <c r="L129" s="146"/>
      <c r="R129" s="157"/>
      <c r="S129" s="157"/>
      <c r="T129" s="157"/>
      <c r="W129" s="157"/>
      <c r="X129" s="157"/>
      <c r="Y129" s="157"/>
      <c r="AB129" s="157"/>
      <c r="AC129" s="157"/>
      <c r="AD129" s="157"/>
      <c r="AG129" s="157"/>
      <c r="AH129" s="157"/>
      <c r="AI129" s="157"/>
    </row>
    <row r="130" spans="2:35" x14ac:dyDescent="0.2">
      <c r="B130" s="146"/>
      <c r="C130" s="146"/>
      <c r="D130" s="146"/>
      <c r="E130" s="146"/>
      <c r="F130" s="146"/>
      <c r="G130" s="146"/>
      <c r="H130" s="146"/>
      <c r="I130" s="146"/>
      <c r="J130" s="146"/>
      <c r="K130" s="146"/>
      <c r="L130" s="146"/>
      <c r="R130" s="157"/>
      <c r="S130" s="157"/>
      <c r="T130" s="157"/>
      <c r="W130" s="157"/>
      <c r="X130" s="157"/>
      <c r="Y130" s="157"/>
      <c r="AB130" s="157"/>
      <c r="AC130" s="157"/>
      <c r="AD130" s="157"/>
      <c r="AG130" s="157"/>
      <c r="AH130" s="157"/>
      <c r="AI130" s="157"/>
    </row>
    <row r="131" spans="2:35" x14ac:dyDescent="0.2">
      <c r="B131" s="146"/>
      <c r="C131" s="146"/>
      <c r="D131" s="146"/>
      <c r="E131" s="146"/>
      <c r="F131" s="146"/>
      <c r="G131" s="146"/>
      <c r="H131" s="146"/>
      <c r="I131" s="146"/>
      <c r="J131" s="146"/>
      <c r="K131" s="146"/>
      <c r="L131" s="146"/>
      <c r="R131" s="157"/>
      <c r="S131" s="157"/>
      <c r="T131" s="157"/>
      <c r="W131" s="157"/>
      <c r="X131" s="157"/>
      <c r="Y131" s="157"/>
      <c r="AB131" s="157"/>
      <c r="AC131" s="157"/>
      <c r="AD131" s="157"/>
      <c r="AG131" s="157"/>
      <c r="AH131" s="157"/>
      <c r="AI131" s="157"/>
    </row>
    <row r="132" spans="2:35" x14ac:dyDescent="0.2">
      <c r="B132" s="146"/>
      <c r="C132" s="146"/>
      <c r="D132" s="146"/>
      <c r="E132" s="146"/>
      <c r="F132" s="146"/>
      <c r="G132" s="146"/>
      <c r="H132" s="146"/>
      <c r="I132" s="146"/>
      <c r="J132" s="146"/>
      <c r="K132" s="146"/>
      <c r="L132" s="146"/>
      <c r="R132" s="157"/>
      <c r="S132" s="157"/>
      <c r="T132" s="157"/>
      <c r="W132" s="157"/>
      <c r="X132" s="157"/>
      <c r="Y132" s="157"/>
      <c r="AB132" s="157"/>
      <c r="AC132" s="157"/>
      <c r="AD132" s="157"/>
      <c r="AG132" s="157"/>
      <c r="AH132" s="157"/>
      <c r="AI132" s="157"/>
    </row>
    <row r="133" spans="2:35" x14ac:dyDescent="0.2">
      <c r="B133" s="146"/>
      <c r="C133" s="146"/>
      <c r="D133" s="146"/>
      <c r="E133" s="146"/>
      <c r="F133" s="146"/>
      <c r="G133" s="146"/>
      <c r="H133" s="146"/>
      <c r="I133" s="146"/>
      <c r="J133" s="146"/>
      <c r="K133" s="146"/>
      <c r="L133" s="146"/>
      <c r="R133" s="157"/>
      <c r="S133" s="157"/>
      <c r="T133" s="157"/>
      <c r="W133" s="157"/>
      <c r="X133" s="157"/>
      <c r="Y133" s="157"/>
      <c r="AB133" s="157"/>
      <c r="AC133" s="157"/>
      <c r="AD133" s="157"/>
      <c r="AG133" s="157"/>
      <c r="AH133" s="157"/>
      <c r="AI133" s="157"/>
    </row>
    <row r="134" spans="2:35" x14ac:dyDescent="0.2">
      <c r="B134" s="146"/>
      <c r="C134" s="146"/>
      <c r="D134" s="146"/>
      <c r="E134" s="146"/>
      <c r="F134" s="146"/>
      <c r="G134" s="146"/>
      <c r="H134" s="146"/>
      <c r="I134" s="146"/>
      <c r="J134" s="146"/>
      <c r="K134" s="146"/>
      <c r="L134" s="146"/>
      <c r="R134" s="157"/>
      <c r="S134" s="157"/>
      <c r="T134" s="157"/>
      <c r="W134" s="157"/>
      <c r="X134" s="157"/>
      <c r="Y134" s="157"/>
      <c r="AB134" s="157"/>
      <c r="AC134" s="157"/>
      <c r="AD134" s="157"/>
      <c r="AG134" s="157"/>
      <c r="AH134" s="157"/>
      <c r="AI134" s="157"/>
    </row>
    <row r="135" spans="2:35" x14ac:dyDescent="0.2">
      <c r="B135" s="146"/>
      <c r="C135" s="146"/>
      <c r="D135" s="146"/>
      <c r="E135" s="146"/>
      <c r="F135" s="146"/>
      <c r="G135" s="146"/>
      <c r="H135" s="146"/>
      <c r="I135" s="146"/>
      <c r="J135" s="146"/>
      <c r="K135" s="146"/>
      <c r="L135" s="146"/>
      <c r="R135" s="157"/>
      <c r="S135" s="157"/>
      <c r="T135" s="157"/>
      <c r="W135" s="157"/>
      <c r="X135" s="157"/>
      <c r="Y135" s="157"/>
      <c r="AB135" s="157"/>
      <c r="AC135" s="157"/>
      <c r="AD135" s="157"/>
      <c r="AG135" s="157"/>
      <c r="AH135" s="157"/>
      <c r="AI135" s="157"/>
    </row>
    <row r="136" spans="2:35" x14ac:dyDescent="0.2">
      <c r="B136" s="146"/>
      <c r="C136" s="146"/>
      <c r="D136" s="146"/>
      <c r="E136" s="146"/>
      <c r="F136" s="146"/>
      <c r="G136" s="146"/>
      <c r="H136" s="146"/>
      <c r="I136" s="146"/>
      <c r="J136" s="146"/>
      <c r="K136" s="146"/>
      <c r="L136" s="146"/>
      <c r="R136" s="157"/>
      <c r="S136" s="157"/>
      <c r="T136" s="157"/>
      <c r="W136" s="157"/>
      <c r="X136" s="157"/>
      <c r="Y136" s="157"/>
      <c r="AB136" s="157"/>
      <c r="AC136" s="157"/>
      <c r="AD136" s="157"/>
      <c r="AG136" s="157"/>
      <c r="AH136" s="157"/>
      <c r="AI136" s="157"/>
    </row>
    <row r="137" spans="2:35" x14ac:dyDescent="0.2">
      <c r="B137" s="146"/>
      <c r="C137" s="146"/>
      <c r="D137" s="146"/>
      <c r="E137" s="146"/>
      <c r="F137" s="146"/>
      <c r="G137" s="146"/>
      <c r="H137" s="146"/>
      <c r="I137" s="146"/>
      <c r="J137" s="146"/>
      <c r="K137" s="146"/>
      <c r="L137" s="146"/>
      <c r="R137" s="157"/>
      <c r="S137" s="157"/>
      <c r="T137" s="157"/>
      <c r="W137" s="157"/>
      <c r="X137" s="157"/>
      <c r="Y137" s="157"/>
      <c r="AB137" s="157"/>
      <c r="AC137" s="157"/>
      <c r="AD137" s="157"/>
      <c r="AG137" s="157"/>
      <c r="AH137" s="157"/>
      <c r="AI137" s="157"/>
    </row>
    <row r="138" spans="2:35" x14ac:dyDescent="0.2">
      <c r="B138" s="146"/>
      <c r="C138" s="146"/>
      <c r="D138" s="146"/>
      <c r="E138" s="146"/>
      <c r="F138" s="146"/>
      <c r="G138" s="146"/>
      <c r="H138" s="146"/>
      <c r="I138" s="146"/>
      <c r="J138" s="146"/>
      <c r="K138" s="146"/>
      <c r="L138" s="146"/>
      <c r="R138" s="157"/>
      <c r="S138" s="157"/>
      <c r="T138" s="157"/>
      <c r="W138" s="157"/>
      <c r="X138" s="157"/>
      <c r="Y138" s="157"/>
      <c r="AB138" s="157"/>
      <c r="AC138" s="157"/>
      <c r="AD138" s="157"/>
      <c r="AG138" s="157"/>
      <c r="AH138" s="157"/>
      <c r="AI138" s="157"/>
    </row>
    <row r="139" spans="2:35" x14ac:dyDescent="0.2">
      <c r="B139" s="146"/>
      <c r="C139" s="146"/>
      <c r="D139" s="146"/>
      <c r="E139" s="146"/>
      <c r="F139" s="146"/>
      <c r="G139" s="146"/>
      <c r="H139" s="146"/>
      <c r="I139" s="146"/>
      <c r="J139" s="146"/>
      <c r="K139" s="146"/>
      <c r="L139" s="146"/>
      <c r="R139" s="157"/>
      <c r="S139" s="157"/>
      <c r="T139" s="157"/>
      <c r="W139" s="157"/>
      <c r="X139" s="157"/>
      <c r="Y139" s="157"/>
      <c r="AB139" s="157"/>
      <c r="AC139" s="157"/>
      <c r="AD139" s="157"/>
      <c r="AG139" s="157"/>
      <c r="AH139" s="157"/>
      <c r="AI139" s="157"/>
    </row>
    <row r="140" spans="2:35" x14ac:dyDescent="0.2">
      <c r="B140" s="146"/>
      <c r="C140" s="146"/>
      <c r="D140" s="146"/>
      <c r="E140" s="146"/>
      <c r="F140" s="146"/>
      <c r="G140" s="146"/>
      <c r="H140" s="146"/>
      <c r="I140" s="146"/>
      <c r="J140" s="146"/>
      <c r="K140" s="146"/>
      <c r="L140" s="146"/>
      <c r="R140" s="157"/>
      <c r="S140" s="157"/>
      <c r="T140" s="157"/>
      <c r="W140" s="157"/>
      <c r="X140" s="157"/>
      <c r="Y140" s="157"/>
      <c r="AB140" s="157"/>
      <c r="AC140" s="157"/>
      <c r="AD140" s="157"/>
      <c r="AG140" s="157"/>
      <c r="AH140" s="157"/>
      <c r="AI140" s="157"/>
    </row>
    <row r="141" spans="2:35" x14ac:dyDescent="0.2">
      <c r="B141" s="146"/>
      <c r="C141" s="146"/>
      <c r="D141" s="146"/>
      <c r="E141" s="146"/>
      <c r="F141" s="146"/>
      <c r="G141" s="146"/>
      <c r="H141" s="146"/>
      <c r="I141" s="146"/>
      <c r="J141" s="146"/>
      <c r="K141" s="146"/>
      <c r="L141" s="146"/>
      <c r="R141" s="157"/>
      <c r="S141" s="157"/>
      <c r="T141" s="157"/>
      <c r="W141" s="157"/>
      <c r="X141" s="157"/>
      <c r="Y141" s="157"/>
      <c r="AB141" s="157"/>
      <c r="AC141" s="157"/>
      <c r="AD141" s="157"/>
      <c r="AG141" s="157"/>
      <c r="AH141" s="157"/>
      <c r="AI141" s="157"/>
    </row>
    <row r="142" spans="2:35" x14ac:dyDescent="0.2">
      <c r="B142" s="146"/>
      <c r="C142" s="146"/>
      <c r="D142" s="146"/>
      <c r="E142" s="146"/>
      <c r="F142" s="146"/>
      <c r="G142" s="146"/>
      <c r="H142" s="146"/>
      <c r="I142" s="146"/>
      <c r="J142" s="146"/>
      <c r="K142" s="146"/>
      <c r="L142" s="146"/>
      <c r="R142" s="157"/>
      <c r="S142" s="157"/>
      <c r="T142" s="157"/>
      <c r="W142" s="157"/>
      <c r="X142" s="157"/>
      <c r="Y142" s="157"/>
      <c r="AB142" s="157"/>
      <c r="AC142" s="157"/>
      <c r="AD142" s="157"/>
      <c r="AG142" s="157"/>
      <c r="AH142" s="157"/>
      <c r="AI142" s="157"/>
    </row>
    <row r="143" spans="2:35" x14ac:dyDescent="0.2">
      <c r="B143" s="146"/>
      <c r="C143" s="146"/>
      <c r="D143" s="146"/>
      <c r="E143" s="146"/>
      <c r="F143" s="146"/>
      <c r="G143" s="146"/>
      <c r="H143" s="146"/>
      <c r="I143" s="146"/>
      <c r="J143" s="146"/>
      <c r="K143" s="146"/>
      <c r="L143" s="146"/>
      <c r="R143" s="157"/>
      <c r="S143" s="157"/>
      <c r="T143" s="157"/>
      <c r="W143" s="157"/>
      <c r="X143" s="157"/>
      <c r="Y143" s="157"/>
      <c r="AB143" s="157"/>
      <c r="AC143" s="157"/>
      <c r="AD143" s="157"/>
      <c r="AG143" s="157"/>
      <c r="AH143" s="157"/>
      <c r="AI143" s="157"/>
    </row>
    <row r="144" spans="2:35" x14ac:dyDescent="0.2">
      <c r="B144" s="146"/>
      <c r="C144" s="146"/>
      <c r="D144" s="146"/>
      <c r="E144" s="146"/>
      <c r="F144" s="146"/>
      <c r="G144" s="146"/>
      <c r="H144" s="146"/>
      <c r="I144" s="146"/>
      <c r="J144" s="146"/>
      <c r="K144" s="146"/>
      <c r="L144" s="146"/>
      <c r="R144" s="157"/>
      <c r="S144" s="157"/>
      <c r="T144" s="157"/>
      <c r="W144" s="157"/>
      <c r="X144" s="157"/>
      <c r="Y144" s="157"/>
      <c r="AB144" s="157"/>
      <c r="AC144" s="157"/>
      <c r="AD144" s="157"/>
      <c r="AG144" s="157"/>
      <c r="AH144" s="157"/>
      <c r="AI144" s="157"/>
    </row>
    <row r="145" spans="2:35" x14ac:dyDescent="0.2">
      <c r="B145" s="146"/>
      <c r="C145" s="146"/>
      <c r="D145" s="146"/>
      <c r="E145" s="146"/>
      <c r="F145" s="146"/>
      <c r="G145" s="146"/>
      <c r="H145" s="146"/>
      <c r="I145" s="146"/>
      <c r="J145" s="146"/>
      <c r="K145" s="146"/>
      <c r="L145" s="146"/>
      <c r="R145" s="157"/>
      <c r="S145" s="157"/>
      <c r="T145" s="157"/>
      <c r="W145" s="157"/>
      <c r="X145" s="157"/>
      <c r="Y145" s="157"/>
      <c r="AB145" s="157"/>
      <c r="AC145" s="157"/>
      <c r="AD145" s="157"/>
      <c r="AG145" s="157"/>
      <c r="AH145" s="157"/>
      <c r="AI145" s="157"/>
    </row>
    <row r="146" spans="2:35" x14ac:dyDescent="0.2">
      <c r="B146" s="146"/>
      <c r="C146" s="146"/>
      <c r="D146" s="146"/>
      <c r="E146" s="146"/>
      <c r="F146" s="146"/>
      <c r="G146" s="146"/>
      <c r="H146" s="146"/>
      <c r="I146" s="146"/>
      <c r="J146" s="146"/>
      <c r="K146" s="146"/>
      <c r="L146" s="146"/>
      <c r="R146" s="157"/>
      <c r="S146" s="157"/>
      <c r="T146" s="157"/>
      <c r="W146" s="157"/>
      <c r="X146" s="157"/>
      <c r="Y146" s="157"/>
      <c r="AB146" s="157"/>
      <c r="AC146" s="157"/>
      <c r="AD146" s="157"/>
      <c r="AG146" s="157"/>
      <c r="AH146" s="157"/>
      <c r="AI146" s="157"/>
    </row>
    <row r="147" spans="2:35" x14ac:dyDescent="0.2">
      <c r="B147" s="146"/>
      <c r="C147" s="146"/>
      <c r="D147" s="146"/>
      <c r="E147" s="146"/>
      <c r="F147" s="146"/>
      <c r="G147" s="146"/>
      <c r="H147" s="146"/>
      <c r="I147" s="146"/>
      <c r="J147" s="146"/>
      <c r="K147" s="146"/>
      <c r="L147" s="146"/>
      <c r="R147" s="157"/>
      <c r="S147" s="157"/>
      <c r="T147" s="157"/>
      <c r="W147" s="157"/>
      <c r="X147" s="157"/>
      <c r="Y147" s="157"/>
      <c r="AB147" s="157"/>
      <c r="AC147" s="157"/>
      <c r="AD147" s="157"/>
      <c r="AG147" s="157"/>
      <c r="AH147" s="157"/>
      <c r="AI147" s="157"/>
    </row>
    <row r="148" spans="2:35" x14ac:dyDescent="0.2">
      <c r="B148" s="146"/>
      <c r="C148" s="146"/>
      <c r="D148" s="146"/>
      <c r="E148" s="146"/>
      <c r="F148" s="146"/>
      <c r="G148" s="146"/>
      <c r="H148" s="146"/>
      <c r="I148" s="146"/>
      <c r="J148" s="146"/>
      <c r="K148" s="146"/>
      <c r="L148" s="146"/>
      <c r="R148" s="157"/>
      <c r="S148" s="157"/>
      <c r="T148" s="157"/>
      <c r="W148" s="157"/>
      <c r="X148" s="157"/>
      <c r="Y148" s="157"/>
      <c r="AB148" s="157"/>
      <c r="AC148" s="157"/>
      <c r="AD148" s="157"/>
      <c r="AG148" s="157"/>
      <c r="AH148" s="157"/>
      <c r="AI148" s="157"/>
    </row>
    <row r="149" spans="2:35" x14ac:dyDescent="0.2">
      <c r="B149" s="146"/>
      <c r="C149" s="146"/>
      <c r="D149" s="146"/>
      <c r="E149" s="146"/>
      <c r="F149" s="146"/>
      <c r="G149" s="146"/>
      <c r="H149" s="146"/>
      <c r="I149" s="146"/>
      <c r="J149" s="146"/>
      <c r="K149" s="146"/>
      <c r="L149" s="146"/>
      <c r="R149" s="157"/>
      <c r="S149" s="157"/>
      <c r="T149" s="157"/>
      <c r="W149" s="157"/>
      <c r="X149" s="157"/>
      <c r="Y149" s="157"/>
      <c r="AB149" s="157"/>
      <c r="AC149" s="157"/>
      <c r="AD149" s="157"/>
      <c r="AG149" s="157"/>
      <c r="AH149" s="157"/>
      <c r="AI149" s="157"/>
    </row>
    <row r="150" spans="2:35" x14ac:dyDescent="0.2">
      <c r="B150" s="146"/>
      <c r="C150" s="146"/>
      <c r="D150" s="146"/>
      <c r="E150" s="146"/>
      <c r="F150" s="146"/>
      <c r="G150" s="146"/>
      <c r="H150" s="146"/>
      <c r="I150" s="146"/>
      <c r="J150" s="146"/>
      <c r="K150" s="146"/>
      <c r="L150" s="146"/>
      <c r="R150" s="157"/>
      <c r="S150" s="157"/>
      <c r="T150" s="157"/>
      <c r="W150" s="157"/>
      <c r="X150" s="157"/>
      <c r="Y150" s="157"/>
      <c r="AB150" s="157"/>
      <c r="AC150" s="157"/>
      <c r="AD150" s="157"/>
      <c r="AG150" s="157"/>
      <c r="AH150" s="157"/>
      <c r="AI150" s="157"/>
    </row>
    <row r="151" spans="2:35" x14ac:dyDescent="0.2">
      <c r="B151" s="146"/>
      <c r="C151" s="146"/>
      <c r="D151" s="146"/>
      <c r="E151" s="146"/>
      <c r="F151" s="146"/>
      <c r="G151" s="146"/>
      <c r="H151" s="146"/>
      <c r="I151" s="146"/>
      <c r="J151" s="146"/>
      <c r="K151" s="146"/>
      <c r="L151" s="146"/>
      <c r="R151" s="157"/>
      <c r="S151" s="157"/>
      <c r="T151" s="157"/>
      <c r="W151" s="157"/>
      <c r="X151" s="157"/>
      <c r="Y151" s="157"/>
      <c r="AB151" s="157"/>
      <c r="AC151" s="157"/>
      <c r="AD151" s="157"/>
      <c r="AG151" s="157"/>
      <c r="AH151" s="157"/>
      <c r="AI151" s="157"/>
    </row>
    <row r="152" spans="2:35" x14ac:dyDescent="0.2">
      <c r="B152" s="146"/>
      <c r="C152" s="146"/>
      <c r="D152" s="146"/>
      <c r="E152" s="146"/>
      <c r="F152" s="146"/>
      <c r="G152" s="146"/>
      <c r="H152" s="146"/>
      <c r="I152" s="146"/>
      <c r="J152" s="146"/>
      <c r="K152" s="146"/>
      <c r="L152" s="146"/>
      <c r="R152" s="157"/>
      <c r="S152" s="157"/>
      <c r="T152" s="157"/>
      <c r="W152" s="157"/>
      <c r="X152" s="157"/>
      <c r="Y152" s="157"/>
      <c r="AB152" s="157"/>
      <c r="AC152" s="157"/>
      <c r="AD152" s="157"/>
      <c r="AG152" s="157"/>
      <c r="AH152" s="157"/>
      <c r="AI152" s="157"/>
    </row>
    <row r="153" spans="2:35" x14ac:dyDescent="0.2">
      <c r="B153" s="146"/>
      <c r="C153" s="146"/>
      <c r="D153" s="146"/>
      <c r="E153" s="146"/>
      <c r="F153" s="146"/>
      <c r="G153" s="146"/>
      <c r="H153" s="146"/>
      <c r="I153" s="146"/>
      <c r="J153" s="146"/>
      <c r="K153" s="146"/>
      <c r="L153" s="146"/>
      <c r="R153" s="157"/>
      <c r="S153" s="157"/>
      <c r="T153" s="157"/>
      <c r="W153" s="157"/>
      <c r="X153" s="157"/>
      <c r="Y153" s="157"/>
      <c r="AB153" s="157"/>
      <c r="AC153" s="157"/>
      <c r="AD153" s="157"/>
      <c r="AG153" s="157"/>
      <c r="AH153" s="157"/>
      <c r="AI153" s="157"/>
    </row>
    <row r="154" spans="2:35" x14ac:dyDescent="0.2">
      <c r="B154" s="146"/>
      <c r="C154" s="146"/>
      <c r="D154" s="146"/>
      <c r="E154" s="146"/>
      <c r="F154" s="146"/>
      <c r="G154" s="146"/>
      <c r="H154" s="146"/>
      <c r="I154" s="146"/>
      <c r="J154" s="146"/>
      <c r="K154" s="146"/>
      <c r="L154" s="146"/>
      <c r="R154" s="157"/>
      <c r="S154" s="157"/>
      <c r="T154" s="157"/>
      <c r="W154" s="157"/>
      <c r="X154" s="157"/>
      <c r="Y154" s="157"/>
      <c r="AB154" s="157"/>
      <c r="AC154" s="157"/>
      <c r="AD154" s="157"/>
      <c r="AG154" s="157"/>
      <c r="AH154" s="157"/>
      <c r="AI154" s="157"/>
    </row>
    <row r="155" spans="2:35" x14ac:dyDescent="0.2">
      <c r="B155" s="146"/>
      <c r="C155" s="146"/>
      <c r="D155" s="146"/>
      <c r="E155" s="146"/>
      <c r="F155" s="146"/>
      <c r="G155" s="146"/>
      <c r="H155" s="146"/>
      <c r="I155" s="146"/>
      <c r="J155" s="146"/>
      <c r="K155" s="146"/>
      <c r="L155" s="146"/>
      <c r="R155" s="157"/>
      <c r="S155" s="157"/>
      <c r="T155" s="157"/>
      <c r="W155" s="157"/>
      <c r="X155" s="157"/>
      <c r="Y155" s="157"/>
      <c r="AB155" s="157"/>
      <c r="AC155" s="157"/>
      <c r="AD155" s="157"/>
      <c r="AG155" s="157"/>
      <c r="AH155" s="157"/>
      <c r="AI155" s="157"/>
    </row>
    <row r="156" spans="2:35" x14ac:dyDescent="0.2">
      <c r="B156" s="146"/>
      <c r="C156" s="146"/>
      <c r="D156" s="146"/>
      <c r="E156" s="146"/>
      <c r="F156" s="146"/>
      <c r="G156" s="146"/>
      <c r="H156" s="146"/>
      <c r="I156" s="146"/>
      <c r="J156" s="146"/>
      <c r="K156" s="146"/>
      <c r="L156" s="146"/>
      <c r="R156" s="157"/>
      <c r="S156" s="157"/>
      <c r="T156" s="157"/>
      <c r="W156" s="157"/>
      <c r="X156" s="157"/>
      <c r="Y156" s="157"/>
      <c r="AB156" s="157"/>
      <c r="AC156" s="157"/>
      <c r="AD156" s="157"/>
      <c r="AG156" s="157"/>
      <c r="AH156" s="157"/>
      <c r="AI156" s="157"/>
    </row>
    <row r="157" spans="2:35" x14ac:dyDescent="0.2">
      <c r="B157" s="146"/>
      <c r="C157" s="146"/>
      <c r="D157" s="146"/>
      <c r="E157" s="146"/>
      <c r="F157" s="146"/>
      <c r="G157" s="146"/>
      <c r="H157" s="146"/>
      <c r="I157" s="146"/>
      <c r="J157" s="146"/>
      <c r="K157" s="146"/>
      <c r="L157" s="146"/>
      <c r="R157" s="157"/>
      <c r="S157" s="157"/>
      <c r="T157" s="157"/>
      <c r="W157" s="157"/>
      <c r="X157" s="157"/>
      <c r="Y157" s="157"/>
      <c r="AB157" s="157"/>
      <c r="AC157" s="157"/>
      <c r="AD157" s="157"/>
      <c r="AG157" s="157"/>
      <c r="AH157" s="157"/>
      <c r="AI157" s="157"/>
    </row>
    <row r="158" spans="2:35" x14ac:dyDescent="0.2">
      <c r="B158" s="146"/>
      <c r="C158" s="146"/>
      <c r="D158" s="146"/>
      <c r="E158" s="146"/>
      <c r="F158" s="146"/>
      <c r="G158" s="146"/>
      <c r="H158" s="146"/>
      <c r="I158" s="146"/>
      <c r="J158" s="146"/>
      <c r="K158" s="146"/>
      <c r="L158" s="146"/>
      <c r="R158" s="157"/>
      <c r="S158" s="157"/>
      <c r="T158" s="157"/>
      <c r="W158" s="157"/>
      <c r="X158" s="157"/>
      <c r="Y158" s="157"/>
      <c r="AB158" s="157"/>
      <c r="AC158" s="157"/>
      <c r="AD158" s="157"/>
      <c r="AG158" s="157"/>
      <c r="AH158" s="157"/>
      <c r="AI158" s="157"/>
    </row>
    <row r="159" spans="2:35" x14ac:dyDescent="0.2">
      <c r="B159" s="146"/>
      <c r="C159" s="146"/>
      <c r="D159" s="146"/>
      <c r="E159" s="146"/>
      <c r="F159" s="146"/>
      <c r="G159" s="146"/>
      <c r="H159" s="146"/>
      <c r="I159" s="146"/>
      <c r="J159" s="146"/>
      <c r="K159" s="146"/>
      <c r="L159" s="146"/>
      <c r="R159" s="157"/>
      <c r="S159" s="157"/>
      <c r="T159" s="157"/>
      <c r="W159" s="157"/>
      <c r="X159" s="157"/>
      <c r="Y159" s="157"/>
      <c r="AB159" s="157"/>
      <c r="AC159" s="157"/>
      <c r="AD159" s="157"/>
      <c r="AG159" s="157"/>
      <c r="AH159" s="157"/>
      <c r="AI159" s="157"/>
    </row>
    <row r="160" spans="2:35" x14ac:dyDescent="0.2">
      <c r="B160" s="146"/>
      <c r="C160" s="146"/>
      <c r="D160" s="146"/>
      <c r="E160" s="146"/>
      <c r="F160" s="146"/>
      <c r="G160" s="146"/>
      <c r="H160" s="146"/>
      <c r="I160" s="146"/>
      <c r="J160" s="146"/>
      <c r="K160" s="146"/>
      <c r="L160" s="146"/>
      <c r="R160" s="157"/>
      <c r="S160" s="157"/>
      <c r="T160" s="157"/>
      <c r="W160" s="157"/>
      <c r="X160" s="157"/>
      <c r="Y160" s="157"/>
      <c r="AB160" s="157"/>
      <c r="AC160" s="157"/>
      <c r="AD160" s="157"/>
      <c r="AG160" s="157"/>
      <c r="AH160" s="157"/>
      <c r="AI160" s="157"/>
    </row>
    <row r="161" spans="2:35" x14ac:dyDescent="0.2">
      <c r="B161" s="146"/>
      <c r="C161" s="146"/>
      <c r="D161" s="146"/>
      <c r="E161" s="146"/>
      <c r="F161" s="146"/>
      <c r="G161" s="146"/>
      <c r="H161" s="146"/>
      <c r="I161" s="146"/>
      <c r="J161" s="146"/>
      <c r="K161" s="146"/>
      <c r="L161" s="146"/>
      <c r="R161" s="157"/>
      <c r="S161" s="157"/>
      <c r="T161" s="157"/>
      <c r="W161" s="157"/>
      <c r="X161" s="157"/>
      <c r="Y161" s="157"/>
      <c r="AB161" s="157"/>
      <c r="AC161" s="157"/>
      <c r="AD161" s="157"/>
      <c r="AG161" s="157"/>
      <c r="AH161" s="157"/>
      <c r="AI161" s="157"/>
    </row>
    <row r="162" spans="2:35" x14ac:dyDescent="0.2">
      <c r="B162" s="146"/>
      <c r="C162" s="146"/>
      <c r="D162" s="146"/>
      <c r="E162" s="146"/>
      <c r="F162" s="146"/>
      <c r="G162" s="146"/>
      <c r="H162" s="146"/>
      <c r="I162" s="146"/>
      <c r="J162" s="146"/>
      <c r="K162" s="146"/>
      <c r="L162" s="146"/>
      <c r="R162" s="157"/>
      <c r="S162" s="157"/>
      <c r="T162" s="157"/>
      <c r="W162" s="157"/>
      <c r="X162" s="157"/>
      <c r="Y162" s="157"/>
      <c r="AB162" s="157"/>
      <c r="AC162" s="157"/>
      <c r="AD162" s="157"/>
      <c r="AG162" s="157"/>
      <c r="AH162" s="157"/>
      <c r="AI162" s="157"/>
    </row>
    <row r="163" spans="2:35" x14ac:dyDescent="0.2">
      <c r="B163" s="146"/>
      <c r="C163" s="146"/>
      <c r="D163" s="146"/>
      <c r="E163" s="146"/>
      <c r="F163" s="146"/>
      <c r="G163" s="146"/>
      <c r="H163" s="146"/>
      <c r="I163" s="146"/>
      <c r="J163" s="146"/>
      <c r="K163" s="146"/>
      <c r="L163" s="146"/>
      <c r="R163" s="157"/>
      <c r="S163" s="157"/>
      <c r="T163" s="157"/>
      <c r="W163" s="157"/>
      <c r="X163" s="157"/>
      <c r="Y163" s="157"/>
      <c r="AB163" s="157"/>
      <c r="AC163" s="157"/>
      <c r="AD163" s="157"/>
      <c r="AG163" s="157"/>
      <c r="AH163" s="157"/>
      <c r="AI163" s="157"/>
    </row>
    <row r="164" spans="2:35" x14ac:dyDescent="0.2">
      <c r="B164" s="146"/>
      <c r="C164" s="146"/>
      <c r="D164" s="146"/>
      <c r="E164" s="146"/>
      <c r="F164" s="146"/>
      <c r="G164" s="146"/>
      <c r="H164" s="146"/>
      <c r="I164" s="146"/>
      <c r="J164" s="146"/>
      <c r="K164" s="146"/>
      <c r="L164" s="146"/>
      <c r="R164" s="157"/>
      <c r="S164" s="157"/>
      <c r="T164" s="157"/>
      <c r="W164" s="157"/>
      <c r="X164" s="157"/>
      <c r="Y164" s="157"/>
      <c r="AB164" s="157"/>
      <c r="AC164" s="157"/>
      <c r="AD164" s="157"/>
      <c r="AG164" s="157"/>
      <c r="AH164" s="157"/>
      <c r="AI164" s="157"/>
    </row>
    <row r="165" spans="2:35" x14ac:dyDescent="0.2">
      <c r="B165" s="146"/>
      <c r="C165" s="146"/>
      <c r="D165" s="146"/>
      <c r="E165" s="146"/>
      <c r="F165" s="146"/>
      <c r="G165" s="146"/>
      <c r="H165" s="146"/>
      <c r="I165" s="146"/>
      <c r="J165" s="146"/>
      <c r="K165" s="146"/>
      <c r="L165" s="146"/>
      <c r="R165" s="157"/>
      <c r="S165" s="157"/>
      <c r="T165" s="157"/>
      <c r="W165" s="157"/>
      <c r="X165" s="157"/>
      <c r="Y165" s="157"/>
      <c r="AB165" s="157"/>
      <c r="AC165" s="157"/>
      <c r="AD165" s="157"/>
      <c r="AG165" s="157"/>
      <c r="AH165" s="157"/>
      <c r="AI165" s="157"/>
    </row>
    <row r="166" spans="2:35" x14ac:dyDescent="0.2">
      <c r="B166" s="146"/>
      <c r="C166" s="146"/>
      <c r="D166" s="146"/>
      <c r="E166" s="146"/>
      <c r="F166" s="146"/>
      <c r="G166" s="146"/>
      <c r="H166" s="146"/>
      <c r="I166" s="146"/>
      <c r="J166" s="146"/>
      <c r="K166" s="146"/>
      <c r="L166" s="146"/>
      <c r="R166" s="157"/>
      <c r="S166" s="157"/>
      <c r="T166" s="157"/>
      <c r="W166" s="157"/>
      <c r="X166" s="157"/>
      <c r="Y166" s="157"/>
      <c r="AB166" s="157"/>
      <c r="AC166" s="157"/>
      <c r="AD166" s="157"/>
      <c r="AG166" s="157"/>
      <c r="AH166" s="157"/>
      <c r="AI166" s="157"/>
    </row>
    <row r="167" spans="2:35" x14ac:dyDescent="0.2">
      <c r="B167" s="146"/>
      <c r="C167" s="146"/>
      <c r="D167" s="146"/>
      <c r="E167" s="146"/>
      <c r="F167" s="146"/>
      <c r="G167" s="146"/>
      <c r="H167" s="146"/>
      <c r="I167" s="146"/>
      <c r="J167" s="146"/>
      <c r="K167" s="146"/>
      <c r="L167" s="146"/>
      <c r="R167" s="157"/>
      <c r="S167" s="157"/>
      <c r="T167" s="157"/>
      <c r="W167" s="157"/>
      <c r="X167" s="157"/>
      <c r="Y167" s="157"/>
      <c r="AB167" s="157"/>
      <c r="AC167" s="157"/>
      <c r="AD167" s="157"/>
      <c r="AG167" s="157"/>
      <c r="AH167" s="157"/>
      <c r="AI167" s="157"/>
    </row>
    <row r="168" spans="2:35" x14ac:dyDescent="0.2">
      <c r="B168" s="146"/>
      <c r="C168" s="146"/>
      <c r="D168" s="146"/>
      <c r="E168" s="146"/>
      <c r="F168" s="146"/>
      <c r="G168" s="146"/>
      <c r="H168" s="146"/>
      <c r="I168" s="146"/>
      <c r="J168" s="146"/>
      <c r="K168" s="146"/>
      <c r="L168" s="146"/>
      <c r="R168" s="157"/>
      <c r="S168" s="157"/>
      <c r="T168" s="157"/>
      <c r="W168" s="157"/>
      <c r="X168" s="157"/>
      <c r="Y168" s="157"/>
      <c r="AB168" s="157"/>
      <c r="AC168" s="157"/>
      <c r="AD168" s="157"/>
      <c r="AG168" s="157"/>
      <c r="AH168" s="157"/>
      <c r="AI168" s="157"/>
    </row>
    <row r="169" spans="2:35" x14ac:dyDescent="0.2">
      <c r="B169" s="146"/>
      <c r="C169" s="146"/>
      <c r="D169" s="146"/>
      <c r="E169" s="146"/>
      <c r="F169" s="146"/>
      <c r="G169" s="146"/>
      <c r="H169" s="146"/>
      <c r="I169" s="146"/>
      <c r="J169" s="146"/>
      <c r="K169" s="146"/>
      <c r="L169" s="146"/>
      <c r="R169" s="157"/>
      <c r="S169" s="157"/>
      <c r="T169" s="157"/>
      <c r="W169" s="157"/>
      <c r="X169" s="157"/>
      <c r="Y169" s="157"/>
      <c r="AB169" s="157"/>
      <c r="AC169" s="157"/>
      <c r="AD169" s="157"/>
      <c r="AG169" s="157"/>
      <c r="AH169" s="157"/>
      <c r="AI169" s="157"/>
    </row>
    <row r="170" spans="2:35" x14ac:dyDescent="0.2">
      <c r="B170" s="146"/>
      <c r="C170" s="146"/>
      <c r="D170" s="146"/>
      <c r="E170" s="146"/>
      <c r="F170" s="146"/>
      <c r="G170" s="146"/>
      <c r="H170" s="146"/>
      <c r="I170" s="146"/>
      <c r="J170" s="146"/>
      <c r="K170" s="146"/>
      <c r="L170" s="146"/>
      <c r="R170" s="157"/>
      <c r="S170" s="157"/>
      <c r="T170" s="157"/>
      <c r="W170" s="157"/>
      <c r="X170" s="157"/>
      <c r="Y170" s="157"/>
      <c r="AB170" s="157"/>
      <c r="AC170" s="157"/>
      <c r="AD170" s="157"/>
      <c r="AG170" s="157"/>
      <c r="AH170" s="157"/>
      <c r="AI170" s="157"/>
    </row>
    <row r="171" spans="2:35" x14ac:dyDescent="0.2">
      <c r="B171" s="146"/>
      <c r="C171" s="146"/>
      <c r="D171" s="146"/>
      <c r="E171" s="146"/>
      <c r="F171" s="146"/>
      <c r="G171" s="146"/>
      <c r="H171" s="146"/>
      <c r="I171" s="146"/>
      <c r="J171" s="146"/>
      <c r="K171" s="146"/>
      <c r="L171" s="146"/>
      <c r="R171" s="157"/>
      <c r="S171" s="157"/>
      <c r="T171" s="157"/>
      <c r="W171" s="157"/>
      <c r="X171" s="157"/>
      <c r="Y171" s="157"/>
      <c r="AB171" s="157"/>
      <c r="AC171" s="157"/>
      <c r="AD171" s="157"/>
      <c r="AG171" s="157"/>
      <c r="AH171" s="157"/>
      <c r="AI171" s="157"/>
    </row>
    <row r="172" spans="2:35" x14ac:dyDescent="0.2">
      <c r="B172" s="146"/>
      <c r="C172" s="146"/>
      <c r="D172" s="146"/>
      <c r="E172" s="146"/>
      <c r="F172" s="146"/>
      <c r="G172" s="146"/>
      <c r="H172" s="146"/>
      <c r="I172" s="146"/>
      <c r="J172" s="146"/>
      <c r="K172" s="146"/>
      <c r="L172" s="146"/>
      <c r="R172" s="157"/>
      <c r="S172" s="157"/>
      <c r="T172" s="157"/>
      <c r="W172" s="157"/>
      <c r="X172" s="157"/>
      <c r="Y172" s="157"/>
      <c r="AB172" s="157"/>
      <c r="AC172" s="157"/>
      <c r="AD172" s="157"/>
      <c r="AG172" s="157"/>
      <c r="AH172" s="157"/>
      <c r="AI172" s="157"/>
    </row>
    <row r="173" spans="2:35" x14ac:dyDescent="0.2">
      <c r="B173" s="146"/>
      <c r="C173" s="146"/>
      <c r="D173" s="146"/>
      <c r="E173" s="146"/>
      <c r="F173" s="146"/>
      <c r="G173" s="146"/>
      <c r="H173" s="146"/>
      <c r="I173" s="146"/>
      <c r="J173" s="146"/>
      <c r="K173" s="146"/>
      <c r="L173" s="146"/>
      <c r="R173" s="157"/>
      <c r="S173" s="157"/>
      <c r="T173" s="157"/>
      <c r="W173" s="157"/>
      <c r="X173" s="157"/>
      <c r="Y173" s="157"/>
      <c r="AB173" s="157"/>
      <c r="AC173" s="157"/>
      <c r="AD173" s="157"/>
      <c r="AG173" s="157"/>
      <c r="AH173" s="157"/>
      <c r="AI173" s="157"/>
    </row>
    <row r="174" spans="2:35" x14ac:dyDescent="0.2">
      <c r="B174" s="146"/>
      <c r="C174" s="146"/>
      <c r="D174" s="146"/>
      <c r="E174" s="146"/>
      <c r="F174" s="146"/>
      <c r="G174" s="146"/>
      <c r="H174" s="146"/>
      <c r="I174" s="146"/>
      <c r="J174" s="146"/>
      <c r="K174" s="146"/>
      <c r="L174" s="146"/>
      <c r="R174" s="157"/>
      <c r="S174" s="157"/>
      <c r="T174" s="157"/>
      <c r="W174" s="157"/>
      <c r="X174" s="157"/>
      <c r="Y174" s="157"/>
      <c r="AB174" s="157"/>
      <c r="AC174" s="157"/>
      <c r="AD174" s="157"/>
      <c r="AG174" s="157"/>
      <c r="AH174" s="157"/>
      <c r="AI174" s="157"/>
    </row>
    <row r="175" spans="2:35" x14ac:dyDescent="0.2">
      <c r="B175" s="146"/>
      <c r="C175" s="146"/>
      <c r="D175" s="146"/>
      <c r="E175" s="146"/>
      <c r="F175" s="146"/>
      <c r="G175" s="146"/>
      <c r="H175" s="146"/>
      <c r="I175" s="146"/>
      <c r="J175" s="146"/>
      <c r="K175" s="146"/>
      <c r="L175" s="146"/>
      <c r="R175" s="157"/>
      <c r="S175" s="157"/>
      <c r="T175" s="157"/>
      <c r="W175" s="157"/>
      <c r="X175" s="157"/>
      <c r="Y175" s="157"/>
      <c r="AB175" s="157"/>
      <c r="AC175" s="157"/>
      <c r="AD175" s="157"/>
      <c r="AG175" s="157"/>
      <c r="AH175" s="157"/>
      <c r="AI175" s="157"/>
    </row>
    <row r="176" spans="2:35" x14ac:dyDescent="0.2">
      <c r="B176" s="146"/>
      <c r="C176" s="146"/>
      <c r="D176" s="146"/>
      <c r="E176" s="146"/>
      <c r="F176" s="146"/>
      <c r="G176" s="146"/>
      <c r="H176" s="146"/>
      <c r="I176" s="146"/>
      <c r="J176" s="146"/>
      <c r="K176" s="146"/>
      <c r="L176" s="146"/>
      <c r="R176" s="157"/>
      <c r="S176" s="157"/>
      <c r="T176" s="157"/>
      <c r="W176" s="157"/>
      <c r="X176" s="157"/>
      <c r="Y176" s="157"/>
      <c r="AB176" s="157"/>
      <c r="AC176" s="157"/>
      <c r="AD176" s="157"/>
      <c r="AG176" s="157"/>
      <c r="AH176" s="157"/>
      <c r="AI176" s="157"/>
    </row>
    <row r="177" spans="2:35" x14ac:dyDescent="0.2">
      <c r="B177" s="146"/>
      <c r="C177" s="146"/>
      <c r="D177" s="146"/>
      <c r="E177" s="146"/>
      <c r="F177" s="146"/>
      <c r="G177" s="146"/>
      <c r="H177" s="146"/>
      <c r="I177" s="146"/>
      <c r="J177" s="146"/>
      <c r="K177" s="146"/>
      <c r="L177" s="146"/>
      <c r="R177" s="157"/>
      <c r="S177" s="157"/>
      <c r="T177" s="157"/>
      <c r="W177" s="157"/>
      <c r="X177" s="157"/>
      <c r="Y177" s="157"/>
      <c r="AB177" s="157"/>
      <c r="AC177" s="157"/>
      <c r="AD177" s="157"/>
      <c r="AG177" s="157"/>
      <c r="AH177" s="157"/>
      <c r="AI177" s="157"/>
    </row>
    <row r="178" spans="2:35" x14ac:dyDescent="0.2">
      <c r="B178" s="146"/>
      <c r="C178" s="146"/>
      <c r="D178" s="146"/>
      <c r="E178" s="146"/>
      <c r="F178" s="146"/>
      <c r="G178" s="146"/>
      <c r="H178" s="146"/>
      <c r="I178" s="146"/>
      <c r="J178" s="146"/>
      <c r="K178" s="146"/>
      <c r="L178" s="146"/>
      <c r="R178" s="157"/>
      <c r="S178" s="157"/>
      <c r="T178" s="157"/>
      <c r="W178" s="157"/>
      <c r="X178" s="157"/>
      <c r="Y178" s="157"/>
      <c r="AB178" s="157"/>
      <c r="AC178" s="157"/>
      <c r="AD178" s="157"/>
      <c r="AG178" s="157"/>
      <c r="AH178" s="157"/>
      <c r="AI178" s="157"/>
    </row>
    <row r="179" spans="2:35" x14ac:dyDescent="0.2">
      <c r="B179" s="146"/>
      <c r="C179" s="146"/>
      <c r="D179" s="146"/>
      <c r="E179" s="146"/>
      <c r="F179" s="146"/>
      <c r="G179" s="146"/>
      <c r="H179" s="146"/>
      <c r="I179" s="146"/>
      <c r="J179" s="146"/>
      <c r="K179" s="146"/>
      <c r="L179" s="146"/>
      <c r="R179" s="157"/>
      <c r="S179" s="157"/>
      <c r="T179" s="157"/>
      <c r="W179" s="157"/>
      <c r="X179" s="157"/>
      <c r="Y179" s="157"/>
      <c r="AB179" s="157"/>
      <c r="AC179" s="157"/>
      <c r="AD179" s="157"/>
      <c r="AG179" s="157"/>
      <c r="AH179" s="157"/>
      <c r="AI179" s="157"/>
    </row>
    <row r="180" spans="2:35" x14ac:dyDescent="0.2">
      <c r="B180" s="146"/>
      <c r="C180" s="146"/>
      <c r="D180" s="146"/>
      <c r="E180" s="146"/>
      <c r="F180" s="146"/>
      <c r="G180" s="146"/>
      <c r="H180" s="146"/>
      <c r="I180" s="146"/>
      <c r="J180" s="146"/>
      <c r="K180" s="146"/>
      <c r="L180" s="146"/>
      <c r="R180" s="157"/>
      <c r="S180" s="157"/>
      <c r="T180" s="157"/>
      <c r="W180" s="157"/>
      <c r="X180" s="157"/>
      <c r="Y180" s="157"/>
      <c r="AB180" s="157"/>
      <c r="AC180" s="157"/>
      <c r="AD180" s="157"/>
      <c r="AG180" s="157"/>
      <c r="AH180" s="157"/>
      <c r="AI180" s="157"/>
    </row>
    <row r="181" spans="2:35" x14ac:dyDescent="0.2">
      <c r="B181" s="146"/>
      <c r="C181" s="146"/>
      <c r="D181" s="146"/>
      <c r="E181" s="146"/>
      <c r="F181" s="146"/>
      <c r="G181" s="146"/>
      <c r="H181" s="146"/>
      <c r="I181" s="146"/>
      <c r="J181" s="146"/>
      <c r="K181" s="146"/>
      <c r="L181" s="146"/>
      <c r="R181" s="157"/>
      <c r="S181" s="157"/>
      <c r="T181" s="157"/>
      <c r="W181" s="157"/>
      <c r="X181" s="157"/>
      <c r="Y181" s="157"/>
      <c r="AB181" s="157"/>
      <c r="AC181" s="157"/>
      <c r="AD181" s="157"/>
      <c r="AG181" s="157"/>
      <c r="AH181" s="157"/>
      <c r="AI181" s="157"/>
    </row>
    <row r="182" spans="2:35" x14ac:dyDescent="0.2">
      <c r="B182" s="146"/>
      <c r="C182" s="146"/>
      <c r="D182" s="146"/>
      <c r="E182" s="146"/>
      <c r="F182" s="146"/>
      <c r="G182" s="146"/>
      <c r="H182" s="146"/>
      <c r="I182" s="146"/>
      <c r="J182" s="146"/>
      <c r="K182" s="146"/>
      <c r="L182" s="146"/>
      <c r="R182" s="157"/>
      <c r="S182" s="157"/>
      <c r="T182" s="157"/>
      <c r="W182" s="157"/>
      <c r="X182" s="157"/>
      <c r="Y182" s="157"/>
      <c r="AB182" s="157"/>
      <c r="AC182" s="157"/>
      <c r="AD182" s="157"/>
      <c r="AG182" s="157"/>
      <c r="AH182" s="157"/>
      <c r="AI182" s="157"/>
    </row>
    <row r="183" spans="2:35" x14ac:dyDescent="0.2">
      <c r="B183" s="146"/>
      <c r="C183" s="146"/>
      <c r="D183" s="146"/>
      <c r="E183" s="146"/>
      <c r="F183" s="146"/>
      <c r="G183" s="146"/>
      <c r="H183" s="146"/>
      <c r="I183" s="146"/>
      <c r="J183" s="146"/>
      <c r="K183" s="146"/>
      <c r="L183" s="146"/>
      <c r="R183" s="157"/>
      <c r="S183" s="157"/>
      <c r="T183" s="157"/>
      <c r="W183" s="157"/>
      <c r="X183" s="157"/>
      <c r="Y183" s="157"/>
      <c r="AB183" s="157"/>
      <c r="AC183" s="157"/>
      <c r="AD183" s="157"/>
      <c r="AG183" s="157"/>
      <c r="AH183" s="157"/>
      <c r="AI183" s="157"/>
    </row>
    <row r="184" spans="2:35" x14ac:dyDescent="0.2">
      <c r="B184" s="146"/>
      <c r="C184" s="146"/>
      <c r="D184" s="146"/>
      <c r="E184" s="146"/>
      <c r="F184" s="146"/>
      <c r="G184" s="146"/>
      <c r="H184" s="146"/>
      <c r="I184" s="146"/>
      <c r="J184" s="146"/>
      <c r="K184" s="146"/>
      <c r="L184" s="146"/>
      <c r="R184" s="157"/>
      <c r="S184" s="157"/>
      <c r="T184" s="157"/>
      <c r="W184" s="157"/>
      <c r="X184" s="157"/>
      <c r="Y184" s="157"/>
      <c r="AB184" s="157"/>
      <c r="AC184" s="157"/>
      <c r="AD184" s="157"/>
      <c r="AG184" s="157"/>
      <c r="AH184" s="157"/>
      <c r="AI184" s="157"/>
    </row>
    <row r="185" spans="2:35" x14ac:dyDescent="0.2">
      <c r="B185" s="146"/>
      <c r="C185" s="146"/>
      <c r="D185" s="146"/>
      <c r="E185" s="146"/>
      <c r="F185" s="146"/>
      <c r="G185" s="146"/>
      <c r="H185" s="146"/>
      <c r="I185" s="146"/>
      <c r="J185" s="146"/>
      <c r="K185" s="146"/>
      <c r="L185" s="146"/>
      <c r="R185" s="157"/>
      <c r="S185" s="157"/>
      <c r="T185" s="157"/>
      <c r="W185" s="157"/>
      <c r="X185" s="157"/>
      <c r="Y185" s="157"/>
      <c r="AB185" s="157"/>
      <c r="AC185" s="157"/>
      <c r="AD185" s="157"/>
      <c r="AG185" s="157"/>
      <c r="AH185" s="157"/>
      <c r="AI185" s="157"/>
    </row>
    <row r="186" spans="2:35" x14ac:dyDescent="0.2">
      <c r="B186" s="146"/>
      <c r="C186" s="146"/>
      <c r="D186" s="146"/>
      <c r="E186" s="146"/>
      <c r="F186" s="146"/>
      <c r="G186" s="146"/>
      <c r="H186" s="146"/>
      <c r="I186" s="146"/>
      <c r="J186" s="146"/>
      <c r="K186" s="146"/>
      <c r="L186" s="146"/>
      <c r="R186" s="157"/>
      <c r="S186" s="157"/>
      <c r="T186" s="157"/>
      <c r="W186" s="157"/>
      <c r="X186" s="157"/>
      <c r="Y186" s="157"/>
      <c r="AB186" s="157"/>
      <c r="AC186" s="157"/>
      <c r="AD186" s="157"/>
      <c r="AG186" s="157"/>
      <c r="AH186" s="157"/>
      <c r="AI186" s="157"/>
    </row>
    <row r="187" spans="2:35" x14ac:dyDescent="0.2">
      <c r="B187" s="146"/>
      <c r="C187" s="146"/>
      <c r="D187" s="146"/>
      <c r="E187" s="146"/>
      <c r="F187" s="146"/>
      <c r="G187" s="146"/>
      <c r="H187" s="146"/>
      <c r="I187" s="146"/>
      <c r="J187" s="146"/>
      <c r="K187" s="146"/>
      <c r="L187" s="146"/>
      <c r="R187" s="157"/>
      <c r="S187" s="157"/>
      <c r="T187" s="157"/>
      <c r="W187" s="157"/>
      <c r="X187" s="157"/>
      <c r="Y187" s="157"/>
      <c r="AB187" s="157"/>
      <c r="AC187" s="157"/>
      <c r="AD187" s="157"/>
      <c r="AG187" s="157"/>
      <c r="AH187" s="157"/>
      <c r="AI187" s="157"/>
    </row>
    <row r="188" spans="2:35" x14ac:dyDescent="0.2">
      <c r="B188" s="146"/>
      <c r="C188" s="146"/>
      <c r="D188" s="146"/>
      <c r="E188" s="146"/>
      <c r="F188" s="146"/>
      <c r="G188" s="146"/>
      <c r="H188" s="146"/>
      <c r="I188" s="146"/>
      <c r="J188" s="146"/>
      <c r="K188" s="146"/>
      <c r="L188" s="146"/>
      <c r="R188" s="157"/>
      <c r="S188" s="157"/>
      <c r="T188" s="157"/>
      <c r="W188" s="157"/>
      <c r="X188" s="157"/>
      <c r="Y188" s="157"/>
      <c r="AB188" s="157"/>
      <c r="AC188" s="157"/>
      <c r="AD188" s="157"/>
      <c r="AG188" s="157"/>
      <c r="AH188" s="157"/>
      <c r="AI188" s="157"/>
    </row>
    <row r="189" spans="2:35" x14ac:dyDescent="0.2">
      <c r="B189" s="146"/>
      <c r="C189" s="146"/>
      <c r="D189" s="146"/>
      <c r="E189" s="146"/>
      <c r="F189" s="146"/>
      <c r="G189" s="146"/>
      <c r="H189" s="146"/>
      <c r="I189" s="146"/>
      <c r="J189" s="146"/>
      <c r="K189" s="146"/>
      <c r="L189" s="146"/>
      <c r="R189" s="157"/>
      <c r="S189" s="157"/>
      <c r="T189" s="157"/>
      <c r="W189" s="157"/>
      <c r="X189" s="157"/>
      <c r="Y189" s="157"/>
      <c r="AB189" s="157"/>
      <c r="AC189" s="157"/>
      <c r="AD189" s="157"/>
      <c r="AG189" s="157"/>
      <c r="AH189" s="157"/>
      <c r="AI189" s="157"/>
    </row>
    <row r="190" spans="2:35" x14ac:dyDescent="0.2">
      <c r="B190" s="146"/>
      <c r="C190" s="146"/>
      <c r="D190" s="146"/>
      <c r="E190" s="146"/>
      <c r="F190" s="146"/>
      <c r="G190" s="146"/>
      <c r="H190" s="146"/>
      <c r="I190" s="146"/>
      <c r="J190" s="146"/>
      <c r="K190" s="146"/>
      <c r="L190" s="146"/>
      <c r="R190" s="157"/>
      <c r="S190" s="157"/>
      <c r="T190" s="157"/>
      <c r="W190" s="157"/>
      <c r="X190" s="157"/>
      <c r="Y190" s="157"/>
      <c r="AB190" s="157"/>
      <c r="AC190" s="157"/>
      <c r="AD190" s="157"/>
      <c r="AG190" s="157"/>
      <c r="AH190" s="157"/>
      <c r="AI190" s="157"/>
    </row>
    <row r="191" spans="2:35" x14ac:dyDescent="0.2">
      <c r="B191" s="146"/>
      <c r="C191" s="146"/>
      <c r="D191" s="146"/>
      <c r="E191" s="146"/>
      <c r="F191" s="146"/>
      <c r="G191" s="146"/>
      <c r="H191" s="146"/>
      <c r="I191" s="146"/>
      <c r="J191" s="146"/>
      <c r="K191" s="146"/>
      <c r="L191" s="146"/>
      <c r="R191" s="157"/>
      <c r="S191" s="157"/>
      <c r="T191" s="157"/>
      <c r="W191" s="157"/>
      <c r="X191" s="157"/>
      <c r="Y191" s="157"/>
      <c r="AB191" s="157"/>
      <c r="AC191" s="157"/>
      <c r="AD191" s="157"/>
      <c r="AG191" s="157"/>
      <c r="AH191" s="157"/>
      <c r="AI191" s="157"/>
    </row>
    <row r="192" spans="2:35" x14ac:dyDescent="0.2">
      <c r="B192" s="146"/>
      <c r="C192" s="146"/>
      <c r="D192" s="146"/>
      <c r="E192" s="146"/>
      <c r="F192" s="146"/>
      <c r="G192" s="146"/>
      <c r="H192" s="146"/>
      <c r="I192" s="146"/>
      <c r="J192" s="146"/>
      <c r="K192" s="146"/>
      <c r="L192" s="146"/>
      <c r="R192" s="157"/>
      <c r="S192" s="157"/>
      <c r="T192" s="157"/>
      <c r="W192" s="157"/>
      <c r="X192" s="157"/>
      <c r="Y192" s="157"/>
      <c r="AB192" s="157"/>
      <c r="AC192" s="157"/>
      <c r="AD192" s="157"/>
      <c r="AG192" s="157"/>
      <c r="AH192" s="157"/>
      <c r="AI192" s="157"/>
    </row>
    <row r="193" spans="2:35" x14ac:dyDescent="0.2">
      <c r="B193" s="146"/>
      <c r="C193" s="146"/>
      <c r="D193" s="146"/>
      <c r="E193" s="146"/>
      <c r="F193" s="146"/>
      <c r="G193" s="146"/>
      <c r="H193" s="146"/>
      <c r="I193" s="146"/>
      <c r="J193" s="146"/>
      <c r="K193" s="146"/>
      <c r="L193" s="146"/>
      <c r="R193" s="157"/>
      <c r="S193" s="157"/>
      <c r="T193" s="157"/>
      <c r="W193" s="157"/>
      <c r="X193" s="157"/>
      <c r="Y193" s="157"/>
      <c r="AB193" s="157"/>
      <c r="AC193" s="157"/>
      <c r="AD193" s="157"/>
      <c r="AG193" s="157"/>
      <c r="AH193" s="157"/>
      <c r="AI193" s="157"/>
    </row>
    <row r="194" spans="2:35" x14ac:dyDescent="0.2">
      <c r="B194" s="146"/>
      <c r="C194" s="146"/>
      <c r="D194" s="146"/>
      <c r="E194" s="146"/>
      <c r="F194" s="146"/>
      <c r="G194" s="146"/>
      <c r="H194" s="146"/>
      <c r="I194" s="146"/>
      <c r="J194" s="146"/>
      <c r="K194" s="146"/>
      <c r="L194" s="146"/>
      <c r="R194" s="157"/>
      <c r="S194" s="157"/>
      <c r="T194" s="157"/>
      <c r="W194" s="157"/>
      <c r="X194" s="157"/>
      <c r="Y194" s="157"/>
      <c r="AB194" s="157"/>
      <c r="AC194" s="157"/>
      <c r="AD194" s="157"/>
      <c r="AG194" s="157"/>
      <c r="AH194" s="157"/>
      <c r="AI194" s="157"/>
    </row>
    <row r="195" spans="2:35" x14ac:dyDescent="0.2">
      <c r="B195" s="146"/>
      <c r="C195" s="146"/>
      <c r="D195" s="146"/>
      <c r="E195" s="146"/>
      <c r="F195" s="146"/>
      <c r="G195" s="146"/>
      <c r="H195" s="146"/>
      <c r="I195" s="146"/>
      <c r="J195" s="146"/>
      <c r="K195" s="146"/>
      <c r="L195" s="146"/>
      <c r="R195" s="157"/>
      <c r="S195" s="157"/>
      <c r="T195" s="157"/>
      <c r="W195" s="157"/>
      <c r="X195" s="157"/>
      <c r="Y195" s="157"/>
      <c r="AB195" s="157"/>
      <c r="AC195" s="157"/>
      <c r="AD195" s="157"/>
      <c r="AG195" s="157"/>
      <c r="AH195" s="157"/>
      <c r="AI195" s="157"/>
    </row>
    <row r="196" spans="2:35" x14ac:dyDescent="0.2">
      <c r="B196" s="146"/>
      <c r="C196" s="146"/>
      <c r="D196" s="146"/>
      <c r="E196" s="146"/>
      <c r="F196" s="146"/>
      <c r="G196" s="146"/>
      <c r="H196" s="146"/>
      <c r="I196" s="146"/>
      <c r="J196" s="146"/>
      <c r="K196" s="146"/>
      <c r="L196" s="146"/>
      <c r="R196" s="157"/>
      <c r="S196" s="157"/>
      <c r="T196" s="157"/>
      <c r="W196" s="157"/>
      <c r="X196" s="157"/>
      <c r="Y196" s="157"/>
      <c r="AB196" s="157"/>
      <c r="AC196" s="157"/>
      <c r="AD196" s="157"/>
      <c r="AG196" s="157"/>
      <c r="AH196" s="157"/>
      <c r="AI196" s="157"/>
    </row>
    <row r="197" spans="2:35" x14ac:dyDescent="0.2">
      <c r="B197" s="146"/>
      <c r="C197" s="146"/>
      <c r="D197" s="146"/>
      <c r="E197" s="146"/>
      <c r="F197" s="146"/>
      <c r="G197" s="146"/>
      <c r="H197" s="146"/>
      <c r="I197" s="146"/>
      <c r="J197" s="146"/>
      <c r="K197" s="146"/>
      <c r="L197" s="146"/>
      <c r="R197" s="157"/>
      <c r="S197" s="157"/>
      <c r="T197" s="157"/>
      <c r="W197" s="157"/>
      <c r="X197" s="157"/>
      <c r="Y197" s="157"/>
      <c r="AB197" s="157"/>
      <c r="AC197" s="157"/>
      <c r="AD197" s="157"/>
      <c r="AG197" s="157"/>
      <c r="AH197" s="157"/>
      <c r="AI197" s="157"/>
    </row>
    <row r="198" spans="2:35" x14ac:dyDescent="0.2">
      <c r="B198" s="146"/>
      <c r="C198" s="146"/>
      <c r="D198" s="146"/>
      <c r="E198" s="146"/>
      <c r="F198" s="146"/>
      <c r="G198" s="146"/>
      <c r="H198" s="146"/>
      <c r="I198" s="146"/>
      <c r="J198" s="146"/>
      <c r="K198" s="146"/>
      <c r="L198" s="146"/>
      <c r="R198" s="157"/>
      <c r="S198" s="157"/>
      <c r="T198" s="157"/>
      <c r="W198" s="157"/>
      <c r="X198" s="157"/>
      <c r="Y198" s="157"/>
      <c r="AB198" s="157"/>
      <c r="AC198" s="157"/>
      <c r="AD198" s="157"/>
      <c r="AG198" s="157"/>
      <c r="AH198" s="157"/>
      <c r="AI198" s="157"/>
    </row>
    <row r="199" spans="2:35" x14ac:dyDescent="0.2">
      <c r="B199" s="146"/>
      <c r="C199" s="146"/>
      <c r="D199" s="146"/>
      <c r="E199" s="146"/>
      <c r="F199" s="146"/>
      <c r="G199" s="146"/>
      <c r="H199" s="146"/>
      <c r="I199" s="146"/>
      <c r="J199" s="146"/>
      <c r="K199" s="146"/>
      <c r="L199" s="146"/>
      <c r="R199" s="157"/>
      <c r="S199" s="157"/>
      <c r="T199" s="157"/>
      <c r="W199" s="157"/>
      <c r="X199" s="157"/>
      <c r="Y199" s="157"/>
      <c r="AB199" s="157"/>
      <c r="AC199" s="157"/>
      <c r="AD199" s="157"/>
      <c r="AG199" s="157"/>
      <c r="AH199" s="157"/>
      <c r="AI199" s="157"/>
    </row>
    <row r="200" spans="2:35" x14ac:dyDescent="0.2">
      <c r="B200" s="146"/>
      <c r="C200" s="146"/>
      <c r="D200" s="146"/>
      <c r="E200" s="146"/>
      <c r="F200" s="146"/>
      <c r="G200" s="146"/>
      <c r="H200" s="146"/>
      <c r="I200" s="146"/>
      <c r="J200" s="146"/>
      <c r="K200" s="146"/>
      <c r="L200" s="146"/>
      <c r="R200" s="157"/>
      <c r="S200" s="157"/>
      <c r="T200" s="157"/>
      <c r="W200" s="157"/>
      <c r="X200" s="157"/>
      <c r="Y200" s="157"/>
      <c r="AB200" s="157"/>
      <c r="AC200" s="157"/>
      <c r="AD200" s="157"/>
      <c r="AG200" s="157"/>
      <c r="AH200" s="157"/>
      <c r="AI200" s="157"/>
    </row>
    <row r="201" spans="2:35" x14ac:dyDescent="0.2">
      <c r="B201" s="146"/>
      <c r="C201" s="146"/>
      <c r="D201" s="146"/>
      <c r="E201" s="146"/>
      <c r="F201" s="146"/>
      <c r="G201" s="146"/>
      <c r="H201" s="146"/>
      <c r="I201" s="146"/>
      <c r="J201" s="146"/>
      <c r="K201" s="146"/>
      <c r="L201" s="146"/>
      <c r="R201" s="157"/>
      <c r="S201" s="157"/>
      <c r="T201" s="157"/>
      <c r="W201" s="157"/>
      <c r="X201" s="157"/>
      <c r="Y201" s="157"/>
      <c r="AB201" s="157"/>
      <c r="AC201" s="157"/>
      <c r="AD201" s="157"/>
      <c r="AG201" s="157"/>
      <c r="AH201" s="157"/>
      <c r="AI201" s="157"/>
    </row>
    <row r="202" spans="2:35" x14ac:dyDescent="0.2">
      <c r="B202" s="146"/>
      <c r="C202" s="146"/>
      <c r="D202" s="146"/>
      <c r="E202" s="146"/>
      <c r="F202" s="146"/>
      <c r="G202" s="146"/>
      <c r="H202" s="146"/>
      <c r="I202" s="146"/>
      <c r="J202" s="146"/>
      <c r="K202" s="146"/>
      <c r="L202" s="146"/>
      <c r="R202" s="157"/>
      <c r="S202" s="157"/>
      <c r="T202" s="157"/>
      <c r="W202" s="157"/>
      <c r="X202" s="157"/>
      <c r="Y202" s="157"/>
      <c r="AB202" s="157"/>
      <c r="AC202" s="157"/>
      <c r="AD202" s="157"/>
      <c r="AG202" s="157"/>
      <c r="AH202" s="157"/>
      <c r="AI202" s="157"/>
    </row>
    <row r="203" spans="2:35" x14ac:dyDescent="0.2">
      <c r="B203" s="146"/>
      <c r="C203" s="146"/>
      <c r="D203" s="146"/>
      <c r="E203" s="146"/>
      <c r="F203" s="146"/>
      <c r="G203" s="146"/>
      <c r="H203" s="146"/>
      <c r="I203" s="146"/>
      <c r="J203" s="146"/>
      <c r="K203" s="146"/>
      <c r="L203" s="146"/>
      <c r="R203" s="157"/>
      <c r="S203" s="157"/>
      <c r="T203" s="157"/>
      <c r="W203" s="157"/>
      <c r="X203" s="157"/>
      <c r="Y203" s="157"/>
      <c r="AB203" s="157"/>
      <c r="AC203" s="157"/>
      <c r="AD203" s="157"/>
      <c r="AG203" s="157"/>
      <c r="AH203" s="157"/>
      <c r="AI203" s="157"/>
    </row>
    <row r="204" spans="2:35" x14ac:dyDescent="0.2">
      <c r="B204" s="146"/>
      <c r="C204" s="146"/>
      <c r="D204" s="146"/>
      <c r="E204" s="146"/>
      <c r="F204" s="146"/>
      <c r="G204" s="146"/>
      <c r="H204" s="146"/>
      <c r="I204" s="146"/>
      <c r="J204" s="146"/>
      <c r="K204" s="146"/>
      <c r="L204" s="146"/>
      <c r="R204" s="157"/>
      <c r="S204" s="157"/>
      <c r="T204" s="157"/>
      <c r="W204" s="157"/>
      <c r="X204" s="157"/>
      <c r="Y204" s="157"/>
      <c r="AB204" s="157"/>
      <c r="AC204" s="157"/>
      <c r="AD204" s="157"/>
      <c r="AG204" s="157"/>
      <c r="AH204" s="157"/>
      <c r="AI204" s="157"/>
    </row>
    <row r="205" spans="2:35" x14ac:dyDescent="0.2">
      <c r="B205" s="146"/>
      <c r="C205" s="146"/>
      <c r="D205" s="146"/>
      <c r="E205" s="146"/>
      <c r="F205" s="146"/>
      <c r="G205" s="146"/>
      <c r="H205" s="146"/>
      <c r="I205" s="146"/>
      <c r="J205" s="146"/>
      <c r="K205" s="146"/>
      <c r="L205" s="146"/>
      <c r="R205" s="157"/>
      <c r="S205" s="157"/>
      <c r="T205" s="157"/>
      <c r="W205" s="157"/>
      <c r="X205" s="157"/>
      <c r="Y205" s="157"/>
      <c r="AB205" s="157"/>
      <c r="AC205" s="157"/>
      <c r="AD205" s="157"/>
      <c r="AG205" s="157"/>
      <c r="AH205" s="157"/>
      <c r="AI205" s="157"/>
    </row>
    <row r="206" spans="2:35" x14ac:dyDescent="0.2">
      <c r="B206" s="146"/>
      <c r="C206" s="146"/>
      <c r="D206" s="146"/>
      <c r="E206" s="146"/>
      <c r="F206" s="146"/>
      <c r="G206" s="146"/>
      <c r="H206" s="146"/>
      <c r="I206" s="146"/>
      <c r="J206" s="146"/>
      <c r="K206" s="146"/>
      <c r="L206" s="146"/>
      <c r="R206" s="157"/>
      <c r="S206" s="157"/>
      <c r="T206" s="157"/>
      <c r="W206" s="157"/>
      <c r="X206" s="157"/>
      <c r="Y206" s="157"/>
      <c r="AB206" s="157"/>
      <c r="AC206" s="157"/>
      <c r="AD206" s="157"/>
      <c r="AG206" s="157"/>
      <c r="AH206" s="157"/>
      <c r="AI206" s="157"/>
    </row>
    <row r="207" spans="2:35" x14ac:dyDescent="0.2">
      <c r="B207" s="146"/>
      <c r="C207" s="146"/>
      <c r="D207" s="146"/>
      <c r="E207" s="146"/>
      <c r="F207" s="146"/>
      <c r="G207" s="146"/>
      <c r="H207" s="146"/>
      <c r="I207" s="146"/>
      <c r="J207" s="146"/>
      <c r="K207" s="146"/>
      <c r="L207" s="146"/>
      <c r="R207" s="157"/>
      <c r="S207" s="157"/>
      <c r="T207" s="157"/>
      <c r="W207" s="157"/>
      <c r="X207" s="157"/>
      <c r="Y207" s="157"/>
      <c r="AB207" s="157"/>
      <c r="AC207" s="157"/>
      <c r="AD207" s="157"/>
      <c r="AG207" s="157"/>
      <c r="AH207" s="157"/>
      <c r="AI207" s="157"/>
    </row>
    <row r="208" spans="2:35" x14ac:dyDescent="0.2">
      <c r="B208" s="146"/>
      <c r="C208" s="146"/>
      <c r="D208" s="146"/>
      <c r="E208" s="146"/>
      <c r="F208" s="146"/>
      <c r="G208" s="146"/>
      <c r="H208" s="146"/>
      <c r="I208" s="146"/>
      <c r="J208" s="146"/>
      <c r="K208" s="146"/>
      <c r="L208" s="146"/>
      <c r="R208" s="157"/>
      <c r="S208" s="157"/>
      <c r="T208" s="157"/>
      <c r="W208" s="157"/>
      <c r="X208" s="157"/>
      <c r="Y208" s="157"/>
      <c r="AB208" s="157"/>
      <c r="AC208" s="157"/>
      <c r="AD208" s="157"/>
      <c r="AG208" s="157"/>
      <c r="AH208" s="157"/>
      <c r="AI208" s="157"/>
    </row>
    <row r="209" spans="2:35" x14ac:dyDescent="0.2">
      <c r="B209" s="146"/>
      <c r="C209" s="146"/>
      <c r="D209" s="146"/>
      <c r="E209" s="146"/>
      <c r="F209" s="146"/>
      <c r="G209" s="146"/>
      <c r="H209" s="146"/>
      <c r="I209" s="146"/>
      <c r="J209" s="146"/>
      <c r="K209" s="146"/>
      <c r="L209" s="146"/>
      <c r="R209" s="157"/>
      <c r="S209" s="157"/>
      <c r="T209" s="157"/>
      <c r="W209" s="157"/>
      <c r="X209" s="157"/>
      <c r="Y209" s="157"/>
      <c r="AB209" s="157"/>
      <c r="AC209" s="157"/>
      <c r="AD209" s="157"/>
      <c r="AG209" s="157"/>
      <c r="AH209" s="157"/>
      <c r="AI209" s="157"/>
    </row>
    <row r="210" spans="2:35" x14ac:dyDescent="0.2">
      <c r="B210" s="146"/>
      <c r="C210" s="146"/>
      <c r="D210" s="146"/>
      <c r="E210" s="146"/>
      <c r="F210" s="146"/>
      <c r="G210" s="146"/>
      <c r="H210" s="146"/>
      <c r="I210" s="146"/>
      <c r="J210" s="146"/>
      <c r="K210" s="146"/>
      <c r="L210" s="146"/>
      <c r="R210" s="157"/>
      <c r="S210" s="157"/>
      <c r="T210" s="157"/>
      <c r="W210" s="157"/>
      <c r="X210" s="157"/>
      <c r="Y210" s="157"/>
      <c r="AB210" s="157"/>
      <c r="AC210" s="157"/>
      <c r="AD210" s="157"/>
      <c r="AG210" s="157"/>
      <c r="AH210" s="157"/>
      <c r="AI210" s="157"/>
    </row>
    <row r="211" spans="2:35" x14ac:dyDescent="0.2">
      <c r="B211" s="146"/>
      <c r="C211" s="146"/>
      <c r="D211" s="146"/>
      <c r="E211" s="146"/>
      <c r="F211" s="146"/>
      <c r="G211" s="146"/>
      <c r="H211" s="146"/>
      <c r="I211" s="146"/>
      <c r="J211" s="146"/>
      <c r="K211" s="146"/>
      <c r="L211" s="146"/>
      <c r="R211" s="157"/>
      <c r="S211" s="157"/>
      <c r="T211" s="157"/>
      <c r="W211" s="157"/>
      <c r="X211" s="157"/>
      <c r="Y211" s="157"/>
      <c r="AB211" s="157"/>
      <c r="AC211" s="157"/>
      <c r="AD211" s="157"/>
      <c r="AG211" s="157"/>
      <c r="AH211" s="157"/>
      <c r="AI211" s="157"/>
    </row>
    <row r="212" spans="2:35" x14ac:dyDescent="0.2">
      <c r="B212" s="146"/>
      <c r="C212" s="146"/>
      <c r="D212" s="146"/>
      <c r="E212" s="146"/>
      <c r="F212" s="146"/>
      <c r="G212" s="146"/>
      <c r="H212" s="146"/>
      <c r="I212" s="146"/>
      <c r="J212" s="146"/>
      <c r="K212" s="146"/>
      <c r="L212" s="146"/>
      <c r="R212" s="157"/>
      <c r="S212" s="157"/>
      <c r="T212" s="157"/>
      <c r="W212" s="157"/>
      <c r="X212" s="157"/>
      <c r="Y212" s="157"/>
      <c r="AB212" s="157"/>
      <c r="AC212" s="157"/>
      <c r="AD212" s="157"/>
      <c r="AG212" s="157"/>
      <c r="AH212" s="157"/>
      <c r="AI212" s="157"/>
    </row>
    <row r="213" spans="2:35" x14ac:dyDescent="0.2">
      <c r="B213" s="146"/>
      <c r="C213" s="146"/>
      <c r="D213" s="146"/>
      <c r="E213" s="146"/>
      <c r="F213" s="146"/>
      <c r="G213" s="146"/>
      <c r="H213" s="146"/>
      <c r="I213" s="146"/>
      <c r="J213" s="146"/>
      <c r="K213" s="146"/>
      <c r="L213" s="146"/>
      <c r="R213" s="157"/>
      <c r="S213" s="157"/>
      <c r="T213" s="157"/>
      <c r="W213" s="157"/>
      <c r="X213" s="157"/>
      <c r="Y213" s="157"/>
      <c r="AB213" s="157"/>
      <c r="AC213" s="157"/>
      <c r="AD213" s="157"/>
      <c r="AG213" s="157"/>
      <c r="AH213" s="157"/>
      <c r="AI213" s="157"/>
    </row>
    <row r="214" spans="2:35" x14ac:dyDescent="0.2">
      <c r="B214" s="146"/>
      <c r="C214" s="146"/>
      <c r="D214" s="146"/>
      <c r="E214" s="146"/>
      <c r="F214" s="146"/>
      <c r="G214" s="146"/>
      <c r="H214" s="146"/>
      <c r="I214" s="146"/>
      <c r="J214" s="146"/>
      <c r="K214" s="146"/>
      <c r="L214" s="146"/>
      <c r="R214" s="157"/>
      <c r="S214" s="157"/>
      <c r="T214" s="157"/>
      <c r="W214" s="157"/>
      <c r="X214" s="157"/>
      <c r="Y214" s="157"/>
      <c r="AB214" s="157"/>
      <c r="AC214" s="157"/>
      <c r="AD214" s="157"/>
      <c r="AG214" s="157"/>
      <c r="AH214" s="157"/>
      <c r="AI214" s="157"/>
    </row>
    <row r="215" spans="2:35" x14ac:dyDescent="0.2">
      <c r="B215" s="146"/>
      <c r="C215" s="146"/>
      <c r="D215" s="146"/>
      <c r="E215" s="146"/>
      <c r="F215" s="146"/>
      <c r="G215" s="146"/>
      <c r="H215" s="146"/>
      <c r="I215" s="146"/>
      <c r="J215" s="146"/>
      <c r="K215" s="146"/>
      <c r="L215" s="146"/>
      <c r="R215" s="157"/>
      <c r="S215" s="157"/>
      <c r="T215" s="157"/>
      <c r="W215" s="157"/>
      <c r="X215" s="157"/>
      <c r="Y215" s="157"/>
      <c r="AB215" s="157"/>
      <c r="AC215" s="157"/>
      <c r="AD215" s="157"/>
      <c r="AG215" s="157"/>
      <c r="AH215" s="157"/>
      <c r="AI215" s="157"/>
    </row>
    <row r="216" spans="2:35" x14ac:dyDescent="0.2">
      <c r="B216" s="146"/>
      <c r="C216" s="146"/>
      <c r="D216" s="146"/>
      <c r="E216" s="146"/>
      <c r="F216" s="146"/>
      <c r="G216" s="146"/>
      <c r="H216" s="146"/>
      <c r="I216" s="146"/>
      <c r="J216" s="146"/>
      <c r="K216" s="146"/>
      <c r="L216" s="146"/>
      <c r="R216" s="157"/>
      <c r="S216" s="157"/>
      <c r="T216" s="157"/>
      <c r="W216" s="157"/>
      <c r="X216" s="157"/>
      <c r="Y216" s="157"/>
      <c r="AB216" s="157"/>
      <c r="AC216" s="157"/>
      <c r="AD216" s="157"/>
      <c r="AG216" s="157"/>
      <c r="AH216" s="157"/>
      <c r="AI216" s="157"/>
    </row>
    <row r="217" spans="2:35" x14ac:dyDescent="0.2">
      <c r="B217" s="146"/>
      <c r="C217" s="146"/>
      <c r="D217" s="146"/>
      <c r="E217" s="146"/>
      <c r="F217" s="146"/>
      <c r="G217" s="146"/>
      <c r="H217" s="146"/>
      <c r="I217" s="146"/>
      <c r="J217" s="146"/>
      <c r="K217" s="146"/>
      <c r="L217" s="146"/>
      <c r="R217" s="157"/>
      <c r="S217" s="157"/>
      <c r="T217" s="157"/>
      <c r="W217" s="157"/>
      <c r="X217" s="157"/>
      <c r="Y217" s="157"/>
      <c r="AB217" s="157"/>
      <c r="AC217" s="157"/>
      <c r="AD217" s="157"/>
      <c r="AG217" s="157"/>
      <c r="AH217" s="157"/>
      <c r="AI217" s="157"/>
    </row>
    <row r="218" spans="2:35" x14ac:dyDescent="0.2">
      <c r="B218" s="146"/>
      <c r="C218" s="146"/>
      <c r="D218" s="146"/>
      <c r="E218" s="146"/>
      <c r="F218" s="146"/>
      <c r="G218" s="146"/>
      <c r="H218" s="146"/>
      <c r="I218" s="146"/>
      <c r="J218" s="146"/>
      <c r="K218" s="146"/>
      <c r="L218" s="146"/>
      <c r="R218" s="157"/>
      <c r="S218" s="157"/>
      <c r="T218" s="157"/>
      <c r="W218" s="157"/>
      <c r="X218" s="157"/>
      <c r="Y218" s="157"/>
      <c r="AB218" s="157"/>
      <c r="AC218" s="157"/>
      <c r="AD218" s="157"/>
      <c r="AG218" s="157"/>
      <c r="AH218" s="157"/>
      <c r="AI218" s="157"/>
    </row>
    <row r="219" spans="2:35" x14ac:dyDescent="0.2">
      <c r="B219" s="146"/>
      <c r="C219" s="146"/>
      <c r="D219" s="146"/>
      <c r="E219" s="146"/>
      <c r="F219" s="146"/>
      <c r="G219" s="146"/>
      <c r="H219" s="146"/>
      <c r="I219" s="146"/>
      <c r="J219" s="146"/>
      <c r="K219" s="146"/>
      <c r="L219" s="146"/>
      <c r="R219" s="157"/>
      <c r="S219" s="157"/>
      <c r="T219" s="157"/>
      <c r="W219" s="157"/>
      <c r="X219" s="157"/>
      <c r="Y219" s="157"/>
      <c r="AB219" s="157"/>
      <c r="AC219" s="157"/>
      <c r="AD219" s="157"/>
      <c r="AG219" s="157"/>
      <c r="AH219" s="157"/>
      <c r="AI219" s="157"/>
    </row>
    <row r="220" spans="2:35" x14ac:dyDescent="0.2">
      <c r="B220" s="146"/>
      <c r="C220" s="146"/>
      <c r="D220" s="146"/>
      <c r="E220" s="146"/>
      <c r="F220" s="146"/>
      <c r="G220" s="146"/>
      <c r="H220" s="146"/>
      <c r="I220" s="146"/>
      <c r="J220" s="146"/>
      <c r="K220" s="146"/>
      <c r="L220" s="146"/>
      <c r="R220" s="157"/>
      <c r="S220" s="157"/>
      <c r="T220" s="157"/>
      <c r="W220" s="157"/>
      <c r="X220" s="157"/>
      <c r="Y220" s="157"/>
      <c r="AB220" s="157"/>
      <c r="AC220" s="157"/>
      <c r="AD220" s="157"/>
      <c r="AG220" s="157"/>
      <c r="AH220" s="157"/>
      <c r="AI220" s="157"/>
    </row>
    <row r="221" spans="2:35" x14ac:dyDescent="0.2">
      <c r="B221" s="146"/>
      <c r="C221" s="146"/>
      <c r="D221" s="146"/>
      <c r="E221" s="146"/>
      <c r="F221" s="146"/>
      <c r="G221" s="146"/>
      <c r="H221" s="146"/>
      <c r="I221" s="146"/>
      <c r="J221" s="146"/>
      <c r="K221" s="146"/>
      <c r="L221" s="146"/>
      <c r="R221" s="157"/>
      <c r="S221" s="157"/>
      <c r="T221" s="157"/>
      <c r="W221" s="157"/>
      <c r="X221" s="157"/>
      <c r="Y221" s="157"/>
      <c r="AB221" s="157"/>
      <c r="AC221" s="157"/>
      <c r="AD221" s="157"/>
      <c r="AG221" s="157"/>
      <c r="AH221" s="157"/>
      <c r="AI221" s="157"/>
    </row>
    <row r="222" spans="2:35" x14ac:dyDescent="0.2">
      <c r="B222" s="146"/>
      <c r="C222" s="146"/>
      <c r="D222" s="146"/>
      <c r="E222" s="146"/>
      <c r="F222" s="146"/>
      <c r="G222" s="146"/>
      <c r="H222" s="146"/>
      <c r="I222" s="146"/>
      <c r="J222" s="146"/>
      <c r="K222" s="146"/>
      <c r="L222" s="146"/>
      <c r="R222" s="157"/>
      <c r="S222" s="157"/>
      <c r="T222" s="157"/>
      <c r="W222" s="157"/>
      <c r="X222" s="157"/>
      <c r="Y222" s="157"/>
      <c r="AB222" s="157"/>
      <c r="AC222" s="157"/>
      <c r="AD222" s="157"/>
      <c r="AG222" s="157"/>
      <c r="AH222" s="157"/>
      <c r="AI222" s="157"/>
    </row>
    <row r="223" spans="2:35" x14ac:dyDescent="0.2">
      <c r="B223" s="146"/>
      <c r="C223" s="146"/>
      <c r="D223" s="146"/>
      <c r="E223" s="146"/>
      <c r="F223" s="146"/>
      <c r="G223" s="146"/>
      <c r="H223" s="146"/>
      <c r="I223" s="146"/>
      <c r="J223" s="146"/>
      <c r="K223" s="146"/>
      <c r="L223" s="146"/>
      <c r="R223" s="157"/>
      <c r="S223" s="157"/>
      <c r="T223" s="157"/>
      <c r="W223" s="157"/>
      <c r="X223" s="157"/>
      <c r="Y223" s="157"/>
      <c r="AB223" s="157"/>
      <c r="AC223" s="157"/>
      <c r="AD223" s="157"/>
      <c r="AG223" s="157"/>
      <c r="AH223" s="157"/>
      <c r="AI223" s="157"/>
    </row>
    <row r="224" spans="2:35" x14ac:dyDescent="0.2">
      <c r="B224" s="146"/>
      <c r="C224" s="146"/>
      <c r="D224" s="146"/>
      <c r="E224" s="146"/>
      <c r="F224" s="146"/>
      <c r="G224" s="146"/>
      <c r="H224" s="146"/>
      <c r="I224" s="146"/>
      <c r="J224" s="146"/>
      <c r="K224" s="146"/>
      <c r="L224" s="146"/>
      <c r="R224" s="157"/>
      <c r="S224" s="157"/>
      <c r="T224" s="157"/>
      <c r="W224" s="157"/>
      <c r="X224" s="157"/>
      <c r="Y224" s="157"/>
      <c r="AB224" s="157"/>
      <c r="AC224" s="157"/>
      <c r="AD224" s="157"/>
      <c r="AG224" s="157"/>
      <c r="AH224" s="157"/>
      <c r="AI224" s="157"/>
    </row>
    <row r="225" spans="2:35" x14ac:dyDescent="0.2">
      <c r="B225" s="146"/>
      <c r="C225" s="146"/>
      <c r="D225" s="146"/>
      <c r="E225" s="146"/>
      <c r="F225" s="146"/>
      <c r="G225" s="146"/>
      <c r="H225" s="146"/>
      <c r="I225" s="146"/>
      <c r="J225" s="146"/>
      <c r="K225" s="146"/>
      <c r="L225" s="146"/>
      <c r="R225" s="157"/>
      <c r="S225" s="157"/>
      <c r="T225" s="157"/>
      <c r="W225" s="157"/>
      <c r="X225" s="157"/>
      <c r="Y225" s="157"/>
      <c r="AB225" s="157"/>
      <c r="AC225" s="157"/>
      <c r="AD225" s="157"/>
      <c r="AG225" s="157"/>
      <c r="AH225" s="157"/>
      <c r="AI225" s="157"/>
    </row>
    <row r="226" spans="2:35" x14ac:dyDescent="0.2">
      <c r="B226" s="146"/>
      <c r="C226" s="146"/>
      <c r="D226" s="146"/>
      <c r="E226" s="146"/>
      <c r="F226" s="146"/>
      <c r="G226" s="146"/>
      <c r="H226" s="146"/>
      <c r="I226" s="146"/>
      <c r="J226" s="146"/>
      <c r="K226" s="146"/>
      <c r="L226" s="146"/>
      <c r="R226" s="157"/>
      <c r="S226" s="157"/>
      <c r="T226" s="157"/>
      <c r="W226" s="157"/>
      <c r="X226" s="157"/>
      <c r="Y226" s="157"/>
      <c r="AB226" s="157"/>
      <c r="AC226" s="157"/>
      <c r="AD226" s="157"/>
      <c r="AG226" s="157"/>
      <c r="AH226" s="157"/>
      <c r="AI226" s="157"/>
    </row>
    <row r="227" spans="2:35" x14ac:dyDescent="0.2">
      <c r="B227" s="146"/>
      <c r="C227" s="146"/>
      <c r="D227" s="146"/>
      <c r="E227" s="146"/>
      <c r="F227" s="146"/>
      <c r="G227" s="146"/>
      <c r="H227" s="146"/>
      <c r="I227" s="146"/>
      <c r="J227" s="146"/>
      <c r="K227" s="146"/>
      <c r="L227" s="146"/>
      <c r="R227" s="157"/>
      <c r="S227" s="157"/>
      <c r="T227" s="157"/>
      <c r="W227" s="157"/>
      <c r="X227" s="157"/>
      <c r="Y227" s="157"/>
      <c r="AB227" s="157"/>
      <c r="AC227" s="157"/>
      <c r="AD227" s="157"/>
      <c r="AG227" s="157"/>
      <c r="AH227" s="157"/>
      <c r="AI227" s="157"/>
    </row>
    <row r="228" spans="2:35" x14ac:dyDescent="0.2">
      <c r="B228" s="146"/>
      <c r="C228" s="146"/>
      <c r="D228" s="146"/>
      <c r="E228" s="146"/>
      <c r="F228" s="146"/>
      <c r="G228" s="146"/>
      <c r="H228" s="146"/>
      <c r="I228" s="146"/>
      <c r="J228" s="146"/>
      <c r="K228" s="146"/>
      <c r="L228" s="146"/>
      <c r="R228" s="157"/>
      <c r="S228" s="157"/>
      <c r="T228" s="157"/>
      <c r="W228" s="157"/>
      <c r="X228" s="157"/>
      <c r="Y228" s="157"/>
      <c r="AB228" s="157"/>
      <c r="AC228" s="157"/>
      <c r="AD228" s="157"/>
      <c r="AG228" s="157"/>
      <c r="AH228" s="157"/>
      <c r="AI228" s="157"/>
    </row>
    <row r="229" spans="2:35" x14ac:dyDescent="0.2">
      <c r="B229" s="146"/>
      <c r="C229" s="146"/>
      <c r="D229" s="146"/>
      <c r="E229" s="146"/>
      <c r="F229" s="146"/>
      <c r="G229" s="146"/>
      <c r="H229" s="146"/>
      <c r="I229" s="146"/>
      <c r="J229" s="146"/>
      <c r="K229" s="146"/>
      <c r="L229" s="146"/>
      <c r="R229" s="157"/>
      <c r="S229" s="157"/>
      <c r="T229" s="157"/>
      <c r="W229" s="157"/>
      <c r="X229" s="157"/>
      <c r="Y229" s="157"/>
      <c r="AB229" s="157"/>
      <c r="AC229" s="157"/>
      <c r="AD229" s="157"/>
      <c r="AG229" s="157"/>
      <c r="AH229" s="157"/>
      <c r="AI229" s="157"/>
    </row>
    <row r="230" spans="2:35" x14ac:dyDescent="0.2">
      <c r="B230" s="146"/>
      <c r="C230" s="146"/>
      <c r="D230" s="146"/>
      <c r="E230" s="146"/>
      <c r="F230" s="146"/>
      <c r="G230" s="146"/>
      <c r="H230" s="146"/>
      <c r="I230" s="146"/>
      <c r="J230" s="146"/>
      <c r="K230" s="146"/>
      <c r="L230" s="146"/>
      <c r="R230" s="157"/>
      <c r="S230" s="157"/>
      <c r="T230" s="157"/>
      <c r="W230" s="157"/>
      <c r="X230" s="157"/>
      <c r="Y230" s="157"/>
      <c r="AB230" s="157"/>
      <c r="AC230" s="157"/>
      <c r="AD230" s="157"/>
      <c r="AG230" s="157"/>
      <c r="AH230" s="157"/>
      <c r="AI230" s="157"/>
    </row>
    <row r="231" spans="2:35" x14ac:dyDescent="0.2">
      <c r="B231" s="146"/>
      <c r="C231" s="146"/>
      <c r="D231" s="146"/>
      <c r="E231" s="146"/>
      <c r="F231" s="146"/>
      <c r="G231" s="146"/>
      <c r="H231" s="146"/>
      <c r="I231" s="146"/>
      <c r="J231" s="146"/>
      <c r="K231" s="146"/>
      <c r="L231" s="146"/>
      <c r="R231" s="157"/>
      <c r="S231" s="157"/>
      <c r="T231" s="157"/>
      <c r="W231" s="157"/>
      <c r="X231" s="157"/>
      <c r="Y231" s="157"/>
      <c r="AB231" s="157"/>
      <c r="AC231" s="157"/>
      <c r="AD231" s="157"/>
      <c r="AG231" s="157"/>
      <c r="AH231" s="157"/>
      <c r="AI231" s="157"/>
    </row>
    <row r="232" spans="2:35" x14ac:dyDescent="0.2">
      <c r="B232" s="146"/>
      <c r="C232" s="146"/>
      <c r="D232" s="146"/>
      <c r="E232" s="146"/>
      <c r="F232" s="146"/>
      <c r="G232" s="146"/>
      <c r="H232" s="146"/>
      <c r="I232" s="146"/>
      <c r="J232" s="146"/>
      <c r="K232" s="146"/>
      <c r="L232" s="146"/>
      <c r="R232" s="157"/>
      <c r="S232" s="157"/>
      <c r="T232" s="157"/>
      <c r="W232" s="157"/>
      <c r="X232" s="157"/>
      <c r="Y232" s="157"/>
      <c r="AB232" s="157"/>
      <c r="AC232" s="157"/>
      <c r="AD232" s="157"/>
      <c r="AG232" s="157"/>
      <c r="AH232" s="157"/>
      <c r="AI232" s="157"/>
    </row>
    <row r="233" spans="2:35" x14ac:dyDescent="0.2">
      <c r="B233" s="146"/>
      <c r="C233" s="146"/>
      <c r="D233" s="146"/>
      <c r="E233" s="146"/>
      <c r="F233" s="146"/>
      <c r="G233" s="146"/>
      <c r="H233" s="146"/>
      <c r="I233" s="146"/>
      <c r="J233" s="146"/>
      <c r="K233" s="146"/>
      <c r="L233" s="146"/>
      <c r="R233" s="157"/>
      <c r="S233" s="157"/>
      <c r="T233" s="157"/>
      <c r="W233" s="157"/>
      <c r="X233" s="157"/>
      <c r="Y233" s="157"/>
      <c r="AB233" s="157"/>
      <c r="AC233" s="157"/>
      <c r="AD233" s="157"/>
      <c r="AG233" s="157"/>
      <c r="AH233" s="157"/>
      <c r="AI233" s="157"/>
    </row>
    <row r="234" spans="2:35" x14ac:dyDescent="0.2">
      <c r="B234" s="146"/>
      <c r="C234" s="146"/>
      <c r="D234" s="146"/>
      <c r="E234" s="146"/>
      <c r="F234" s="146"/>
      <c r="G234" s="146"/>
      <c r="H234" s="146"/>
      <c r="I234" s="146"/>
      <c r="J234" s="146"/>
      <c r="K234" s="146"/>
      <c r="L234" s="146"/>
      <c r="R234" s="157"/>
      <c r="S234" s="157"/>
      <c r="T234" s="157"/>
      <c r="W234" s="157"/>
      <c r="X234" s="157"/>
      <c r="Y234" s="157"/>
      <c r="AB234" s="157"/>
      <c r="AC234" s="157"/>
      <c r="AD234" s="157"/>
      <c r="AG234" s="157"/>
      <c r="AH234" s="157"/>
      <c r="AI234" s="157"/>
    </row>
    <row r="235" spans="2:35" x14ac:dyDescent="0.2">
      <c r="B235" s="146"/>
      <c r="C235" s="146"/>
      <c r="D235" s="146"/>
      <c r="E235" s="146"/>
      <c r="F235" s="146"/>
      <c r="G235" s="146"/>
      <c r="H235" s="146"/>
      <c r="I235" s="146"/>
      <c r="J235" s="146"/>
      <c r="K235" s="146"/>
      <c r="L235" s="146"/>
      <c r="R235" s="157"/>
      <c r="S235" s="157"/>
      <c r="T235" s="157"/>
      <c r="W235" s="157"/>
      <c r="X235" s="157"/>
      <c r="Y235" s="157"/>
      <c r="AB235" s="157"/>
      <c r="AC235" s="157"/>
      <c r="AD235" s="157"/>
      <c r="AG235" s="157"/>
      <c r="AH235" s="157"/>
      <c r="AI235" s="157"/>
    </row>
    <row r="236" spans="2:35" x14ac:dyDescent="0.2">
      <c r="B236" s="146"/>
      <c r="C236" s="146"/>
      <c r="D236" s="146"/>
      <c r="E236" s="146"/>
      <c r="F236" s="146"/>
      <c r="G236" s="146"/>
      <c r="H236" s="146"/>
      <c r="I236" s="146"/>
      <c r="J236" s="146"/>
      <c r="K236" s="146"/>
      <c r="L236" s="146"/>
      <c r="R236" s="157"/>
      <c r="S236" s="157"/>
      <c r="T236" s="157"/>
      <c r="W236" s="157"/>
      <c r="X236" s="157"/>
      <c r="Y236" s="157"/>
      <c r="AB236" s="157"/>
      <c r="AC236" s="157"/>
      <c r="AD236" s="157"/>
      <c r="AG236" s="157"/>
      <c r="AH236" s="157"/>
      <c r="AI236" s="157"/>
    </row>
    <row r="237" spans="2:35" x14ac:dyDescent="0.2">
      <c r="B237" s="146"/>
      <c r="C237" s="146"/>
      <c r="D237" s="146"/>
      <c r="E237" s="146"/>
      <c r="F237" s="146"/>
      <c r="G237" s="146"/>
      <c r="H237" s="146"/>
      <c r="I237" s="146"/>
      <c r="J237" s="146"/>
      <c r="K237" s="146"/>
      <c r="L237" s="146"/>
      <c r="R237" s="157"/>
      <c r="S237" s="157"/>
      <c r="T237" s="157"/>
      <c r="W237" s="157"/>
      <c r="X237" s="157"/>
      <c r="Y237" s="157"/>
      <c r="AB237" s="157"/>
      <c r="AC237" s="157"/>
      <c r="AD237" s="157"/>
      <c r="AG237" s="157"/>
      <c r="AH237" s="157"/>
      <c r="AI237" s="157"/>
    </row>
    <row r="238" spans="2:35" x14ac:dyDescent="0.2">
      <c r="B238" s="146"/>
      <c r="C238" s="146"/>
      <c r="D238" s="146"/>
      <c r="E238" s="146"/>
      <c r="F238" s="146"/>
      <c r="G238" s="146"/>
      <c r="H238" s="146"/>
      <c r="I238" s="146"/>
      <c r="J238" s="146"/>
      <c r="K238" s="146"/>
      <c r="L238" s="146"/>
      <c r="R238" s="157"/>
      <c r="S238" s="157"/>
      <c r="T238" s="157"/>
      <c r="W238" s="157"/>
      <c r="X238" s="157"/>
      <c r="Y238" s="157"/>
      <c r="AB238" s="157"/>
      <c r="AC238" s="157"/>
      <c r="AD238" s="157"/>
      <c r="AG238" s="157"/>
      <c r="AH238" s="157"/>
      <c r="AI238" s="157"/>
    </row>
    <row r="239" spans="2:35" x14ac:dyDescent="0.2">
      <c r="B239" s="146"/>
      <c r="C239" s="146"/>
      <c r="D239" s="146"/>
      <c r="E239" s="146"/>
      <c r="F239" s="146"/>
      <c r="G239" s="146"/>
      <c r="H239" s="146"/>
      <c r="I239" s="146"/>
      <c r="J239" s="146"/>
      <c r="K239" s="146"/>
      <c r="L239" s="146"/>
      <c r="R239" s="157"/>
      <c r="S239" s="157"/>
      <c r="T239" s="157"/>
      <c r="W239" s="157"/>
      <c r="X239" s="157"/>
      <c r="Y239" s="157"/>
      <c r="AB239" s="157"/>
      <c r="AC239" s="157"/>
      <c r="AD239" s="157"/>
      <c r="AG239" s="157"/>
      <c r="AH239" s="157"/>
      <c r="AI239" s="157"/>
    </row>
    <row r="240" spans="2:35" x14ac:dyDescent="0.2">
      <c r="B240" s="146"/>
      <c r="C240" s="146"/>
      <c r="D240" s="146"/>
      <c r="E240" s="146"/>
      <c r="F240" s="146"/>
      <c r="G240" s="146"/>
      <c r="H240" s="146"/>
      <c r="I240" s="146"/>
      <c r="J240" s="146"/>
      <c r="K240" s="146"/>
      <c r="L240" s="146"/>
      <c r="R240" s="157"/>
      <c r="S240" s="157"/>
      <c r="T240" s="157"/>
      <c r="W240" s="157"/>
      <c r="X240" s="157"/>
      <c r="Y240" s="157"/>
      <c r="AB240" s="157"/>
      <c r="AC240" s="157"/>
      <c r="AD240" s="157"/>
      <c r="AG240" s="157"/>
      <c r="AH240" s="157"/>
      <c r="AI240" s="157"/>
    </row>
    <row r="241" spans="2:35" x14ac:dyDescent="0.2">
      <c r="B241" s="146"/>
      <c r="C241" s="146"/>
      <c r="D241" s="146"/>
      <c r="E241" s="146"/>
      <c r="F241" s="146"/>
      <c r="G241" s="146"/>
      <c r="H241" s="146"/>
      <c r="I241" s="146"/>
      <c r="J241" s="146"/>
      <c r="K241" s="146"/>
      <c r="L241" s="146"/>
      <c r="R241" s="157"/>
      <c r="S241" s="157"/>
      <c r="T241" s="157"/>
      <c r="W241" s="157"/>
      <c r="X241" s="157"/>
      <c r="Y241" s="157"/>
      <c r="AB241" s="157"/>
      <c r="AC241" s="157"/>
      <c r="AD241" s="157"/>
      <c r="AG241" s="157"/>
      <c r="AH241" s="157"/>
      <c r="AI241" s="157"/>
    </row>
    <row r="242" spans="2:35" x14ac:dyDescent="0.2">
      <c r="B242" s="146"/>
      <c r="C242" s="146"/>
      <c r="D242" s="146"/>
      <c r="E242" s="146"/>
      <c r="F242" s="146"/>
      <c r="G242" s="146"/>
      <c r="H242" s="146"/>
      <c r="I242" s="146"/>
      <c r="J242" s="146"/>
      <c r="K242" s="146"/>
      <c r="L242" s="146"/>
      <c r="R242" s="157"/>
      <c r="S242" s="157"/>
      <c r="T242" s="157"/>
      <c r="W242" s="157"/>
      <c r="X242" s="157"/>
      <c r="Y242" s="157"/>
      <c r="AB242" s="157"/>
      <c r="AC242" s="157"/>
      <c r="AD242" s="157"/>
      <c r="AG242" s="157"/>
      <c r="AH242" s="157"/>
      <c r="AI242" s="157"/>
    </row>
    <row r="243" spans="2:35" x14ac:dyDescent="0.2">
      <c r="B243" s="146"/>
      <c r="C243" s="146"/>
      <c r="D243" s="146"/>
      <c r="E243" s="146"/>
      <c r="F243" s="146"/>
      <c r="G243" s="146"/>
      <c r="H243" s="146"/>
      <c r="I243" s="146"/>
      <c r="J243" s="146"/>
      <c r="K243" s="146"/>
      <c r="L243" s="146"/>
      <c r="R243" s="157"/>
      <c r="S243" s="157"/>
      <c r="T243" s="157"/>
      <c r="W243" s="157"/>
      <c r="X243" s="157"/>
      <c r="Y243" s="157"/>
      <c r="AB243" s="157"/>
      <c r="AC243" s="157"/>
      <c r="AD243" s="157"/>
      <c r="AG243" s="157"/>
      <c r="AH243" s="157"/>
      <c r="AI243" s="157"/>
    </row>
    <row r="244" spans="2:35" x14ac:dyDescent="0.2">
      <c r="B244" s="146"/>
      <c r="C244" s="146"/>
      <c r="D244" s="146"/>
      <c r="E244" s="146"/>
      <c r="F244" s="146"/>
      <c r="G244" s="146"/>
      <c r="H244" s="146"/>
      <c r="I244" s="146"/>
      <c r="J244" s="146"/>
      <c r="K244" s="146"/>
      <c r="L244" s="146"/>
      <c r="R244" s="157"/>
      <c r="S244" s="157"/>
      <c r="T244" s="157"/>
      <c r="W244" s="157"/>
      <c r="X244" s="157"/>
      <c r="Y244" s="157"/>
      <c r="AB244" s="157"/>
      <c r="AC244" s="157"/>
      <c r="AD244" s="157"/>
      <c r="AG244" s="157"/>
      <c r="AH244" s="157"/>
      <c r="AI244" s="157"/>
    </row>
    <row r="245" spans="2:35" x14ac:dyDescent="0.2">
      <c r="B245" s="146"/>
      <c r="C245" s="146"/>
      <c r="D245" s="146"/>
      <c r="E245" s="146"/>
      <c r="F245" s="146"/>
      <c r="G245" s="146"/>
      <c r="H245" s="146"/>
      <c r="I245" s="146"/>
      <c r="J245" s="146"/>
      <c r="K245" s="146"/>
      <c r="L245" s="146"/>
      <c r="R245" s="157"/>
      <c r="S245" s="157"/>
      <c r="T245" s="157"/>
      <c r="W245" s="157"/>
      <c r="X245" s="157"/>
      <c r="Y245" s="157"/>
      <c r="AB245" s="157"/>
      <c r="AC245" s="157"/>
      <c r="AD245" s="157"/>
      <c r="AG245" s="157"/>
      <c r="AH245" s="157"/>
      <c r="AI245" s="157"/>
    </row>
    <row r="246" spans="2:35" x14ac:dyDescent="0.2">
      <c r="B246" s="146"/>
      <c r="C246" s="146"/>
      <c r="D246" s="146"/>
      <c r="E246" s="146"/>
      <c r="F246" s="146"/>
      <c r="G246" s="146"/>
      <c r="H246" s="146"/>
      <c r="I246" s="146"/>
      <c r="J246" s="146"/>
      <c r="K246" s="146"/>
      <c r="L246" s="146"/>
      <c r="R246" s="157"/>
      <c r="S246" s="157"/>
      <c r="T246" s="157"/>
      <c r="W246" s="157"/>
      <c r="X246" s="157"/>
      <c r="Y246" s="157"/>
      <c r="AB246" s="157"/>
      <c r="AC246" s="157"/>
      <c r="AD246" s="157"/>
      <c r="AG246" s="157"/>
      <c r="AH246" s="157"/>
      <c r="AI246" s="157"/>
    </row>
    <row r="247" spans="2:35" x14ac:dyDescent="0.2">
      <c r="B247" s="146"/>
      <c r="C247" s="146"/>
      <c r="D247" s="146"/>
      <c r="E247" s="146"/>
      <c r="F247" s="146"/>
      <c r="G247" s="146"/>
      <c r="H247" s="146"/>
      <c r="I247" s="146"/>
      <c r="J247" s="146"/>
      <c r="K247" s="146"/>
      <c r="L247" s="146"/>
      <c r="R247" s="157"/>
      <c r="S247" s="157"/>
      <c r="T247" s="157"/>
      <c r="W247" s="157"/>
      <c r="X247" s="157"/>
      <c r="Y247" s="157"/>
      <c r="AB247" s="157"/>
      <c r="AC247" s="157"/>
      <c r="AD247" s="157"/>
      <c r="AG247" s="157"/>
      <c r="AH247" s="157"/>
      <c r="AI247" s="157"/>
    </row>
    <row r="248" spans="2:35" x14ac:dyDescent="0.2">
      <c r="B248" s="146"/>
      <c r="C248" s="146"/>
      <c r="D248" s="146"/>
      <c r="E248" s="146"/>
      <c r="F248" s="146"/>
      <c r="G248" s="146"/>
      <c r="H248" s="146"/>
      <c r="I248" s="146"/>
      <c r="J248" s="146"/>
      <c r="K248" s="146"/>
      <c r="L248" s="146"/>
      <c r="R248" s="157"/>
      <c r="S248" s="157"/>
      <c r="T248" s="157"/>
      <c r="W248" s="157"/>
      <c r="X248" s="157"/>
      <c r="Y248" s="157"/>
      <c r="AB248" s="157"/>
      <c r="AC248" s="157"/>
      <c r="AD248" s="157"/>
      <c r="AG248" s="157"/>
      <c r="AH248" s="157"/>
      <c r="AI248" s="157"/>
    </row>
    <row r="249" spans="2:35" x14ac:dyDescent="0.2">
      <c r="B249" s="146"/>
      <c r="C249" s="146"/>
      <c r="D249" s="146"/>
      <c r="E249" s="146"/>
      <c r="F249" s="146"/>
      <c r="G249" s="146"/>
      <c r="H249" s="146"/>
      <c r="I249" s="146"/>
      <c r="J249" s="146"/>
      <c r="K249" s="146"/>
      <c r="L249" s="146"/>
      <c r="R249" s="157"/>
      <c r="S249" s="157"/>
      <c r="T249" s="157"/>
      <c r="W249" s="157"/>
      <c r="X249" s="157"/>
      <c r="Y249" s="157"/>
      <c r="AB249" s="157"/>
      <c r="AC249" s="157"/>
      <c r="AD249" s="157"/>
      <c r="AG249" s="157"/>
      <c r="AH249" s="157"/>
      <c r="AI249" s="157"/>
    </row>
    <row r="250" spans="2:35" x14ac:dyDescent="0.2">
      <c r="B250" s="146"/>
      <c r="C250" s="146"/>
      <c r="D250" s="146"/>
      <c r="E250" s="146"/>
      <c r="F250" s="146"/>
      <c r="G250" s="146"/>
      <c r="H250" s="146"/>
      <c r="I250" s="146"/>
      <c r="J250" s="146"/>
      <c r="K250" s="146"/>
      <c r="L250" s="146"/>
      <c r="R250" s="157"/>
      <c r="S250" s="157"/>
      <c r="T250" s="157"/>
      <c r="W250" s="157"/>
      <c r="X250" s="157"/>
      <c r="Y250" s="157"/>
      <c r="AB250" s="157"/>
      <c r="AC250" s="157"/>
      <c r="AD250" s="157"/>
      <c r="AG250" s="157"/>
      <c r="AH250" s="157"/>
      <c r="AI250" s="157"/>
    </row>
    <row r="251" spans="2:35" x14ac:dyDescent="0.2">
      <c r="B251" s="146"/>
      <c r="C251" s="146"/>
      <c r="D251" s="146"/>
      <c r="E251" s="146"/>
      <c r="F251" s="146"/>
      <c r="G251" s="146"/>
      <c r="H251" s="146"/>
      <c r="I251" s="146"/>
      <c r="J251" s="146"/>
      <c r="K251" s="146"/>
      <c r="L251" s="146"/>
      <c r="R251" s="157"/>
      <c r="S251" s="157"/>
      <c r="T251" s="157"/>
      <c r="W251" s="157"/>
      <c r="X251" s="157"/>
      <c r="Y251" s="157"/>
      <c r="AB251" s="157"/>
      <c r="AC251" s="157"/>
      <c r="AD251" s="157"/>
      <c r="AG251" s="157"/>
      <c r="AH251" s="157"/>
      <c r="AI251" s="157"/>
    </row>
    <row r="252" spans="2:35" x14ac:dyDescent="0.2">
      <c r="B252" s="146"/>
      <c r="C252" s="146"/>
      <c r="D252" s="146"/>
      <c r="E252" s="146"/>
      <c r="F252" s="146"/>
      <c r="G252" s="146"/>
      <c r="H252" s="146"/>
      <c r="I252" s="146"/>
      <c r="J252" s="146"/>
      <c r="K252" s="146"/>
      <c r="L252" s="146"/>
      <c r="R252" s="157"/>
      <c r="S252" s="157"/>
      <c r="T252" s="157"/>
      <c r="W252" s="157"/>
      <c r="X252" s="157"/>
      <c r="Y252" s="157"/>
      <c r="AB252" s="157"/>
      <c r="AC252" s="157"/>
      <c r="AD252" s="157"/>
      <c r="AG252" s="157"/>
      <c r="AH252" s="157"/>
      <c r="AI252" s="157"/>
    </row>
    <row r="253" spans="2:35" x14ac:dyDescent="0.2">
      <c r="B253" s="146"/>
      <c r="C253" s="146"/>
      <c r="D253" s="146"/>
      <c r="E253" s="146"/>
      <c r="F253" s="146"/>
      <c r="G253" s="146"/>
      <c r="H253" s="146"/>
      <c r="I253" s="146"/>
      <c r="J253" s="146"/>
      <c r="K253" s="146"/>
      <c r="L253" s="146"/>
      <c r="R253" s="157"/>
      <c r="S253" s="157"/>
      <c r="T253" s="157"/>
      <c r="W253" s="157"/>
      <c r="X253" s="157"/>
      <c r="Y253" s="157"/>
      <c r="AB253" s="157"/>
      <c r="AC253" s="157"/>
      <c r="AD253" s="157"/>
      <c r="AG253" s="157"/>
      <c r="AH253" s="157"/>
      <c r="AI253" s="157"/>
    </row>
    <row r="254" spans="2:35" x14ac:dyDescent="0.2">
      <c r="B254" s="146"/>
      <c r="C254" s="146"/>
      <c r="D254" s="146"/>
      <c r="E254" s="146"/>
      <c r="F254" s="146"/>
      <c r="G254" s="146"/>
      <c r="H254" s="146"/>
      <c r="I254" s="146"/>
      <c r="J254" s="146"/>
      <c r="K254" s="146"/>
      <c r="L254" s="146"/>
      <c r="R254" s="157"/>
      <c r="S254" s="157"/>
      <c r="T254" s="157"/>
      <c r="W254" s="157"/>
      <c r="X254" s="157"/>
      <c r="Y254" s="157"/>
      <c r="AB254" s="157"/>
      <c r="AC254" s="157"/>
      <c r="AD254" s="157"/>
      <c r="AG254" s="157"/>
      <c r="AH254" s="157"/>
      <c r="AI254" s="157"/>
    </row>
    <row r="255" spans="2:35" x14ac:dyDescent="0.2">
      <c r="B255" s="146"/>
      <c r="C255" s="146"/>
      <c r="D255" s="146"/>
      <c r="E255" s="146"/>
      <c r="F255" s="146"/>
      <c r="G255" s="146"/>
      <c r="H255" s="146"/>
      <c r="I255" s="146"/>
      <c r="J255" s="146"/>
      <c r="K255" s="146"/>
      <c r="L255" s="146"/>
      <c r="R255" s="157"/>
      <c r="S255" s="157"/>
      <c r="T255" s="157"/>
      <c r="W255" s="157"/>
      <c r="X255" s="157"/>
      <c r="Y255" s="157"/>
      <c r="AB255" s="157"/>
      <c r="AC255" s="157"/>
      <c r="AD255" s="157"/>
      <c r="AG255" s="157"/>
      <c r="AH255" s="157"/>
      <c r="AI255" s="157"/>
    </row>
    <row r="256" spans="2:35" x14ac:dyDescent="0.2">
      <c r="B256" s="146"/>
      <c r="C256" s="146"/>
      <c r="D256" s="146"/>
      <c r="E256" s="146"/>
      <c r="F256" s="146"/>
      <c r="G256" s="146"/>
      <c r="H256" s="146"/>
      <c r="I256" s="146"/>
      <c r="J256" s="146"/>
      <c r="K256" s="146"/>
      <c r="L256" s="146"/>
      <c r="R256" s="157"/>
      <c r="S256" s="157"/>
      <c r="T256" s="157"/>
      <c r="W256" s="157"/>
      <c r="X256" s="157"/>
      <c r="Y256" s="157"/>
      <c r="AB256" s="157"/>
      <c r="AC256" s="157"/>
      <c r="AD256" s="157"/>
      <c r="AG256" s="157"/>
      <c r="AH256" s="157"/>
      <c r="AI256" s="157"/>
    </row>
    <row r="257" spans="2:35" x14ac:dyDescent="0.2">
      <c r="B257" s="146"/>
      <c r="C257" s="146"/>
      <c r="D257" s="146"/>
      <c r="E257" s="146"/>
      <c r="F257" s="146"/>
      <c r="G257" s="146"/>
      <c r="H257" s="146"/>
      <c r="I257" s="146"/>
      <c r="J257" s="146"/>
      <c r="K257" s="146"/>
      <c r="L257" s="146"/>
      <c r="R257" s="157"/>
      <c r="S257" s="157"/>
      <c r="T257" s="157"/>
      <c r="W257" s="157"/>
      <c r="X257" s="157"/>
      <c r="Y257" s="157"/>
      <c r="AB257" s="157"/>
      <c r="AC257" s="157"/>
      <c r="AD257" s="157"/>
      <c r="AG257" s="157"/>
      <c r="AH257" s="157"/>
      <c r="AI257" s="157"/>
    </row>
    <row r="258" spans="2:35" x14ac:dyDescent="0.2">
      <c r="B258" s="146"/>
      <c r="C258" s="146"/>
      <c r="D258" s="146"/>
      <c r="E258" s="146"/>
      <c r="F258" s="146"/>
      <c r="G258" s="146"/>
      <c r="H258" s="146"/>
      <c r="I258" s="146"/>
      <c r="J258" s="146"/>
      <c r="K258" s="146"/>
      <c r="L258" s="146"/>
      <c r="R258" s="157"/>
      <c r="S258" s="157"/>
      <c r="T258" s="157"/>
      <c r="W258" s="157"/>
      <c r="X258" s="157"/>
      <c r="Y258" s="157"/>
      <c r="AB258" s="157"/>
      <c r="AC258" s="157"/>
      <c r="AD258" s="157"/>
      <c r="AG258" s="157"/>
      <c r="AH258" s="157"/>
      <c r="AI258" s="157"/>
    </row>
    <row r="259" spans="2:35" x14ac:dyDescent="0.2">
      <c r="B259" s="146"/>
      <c r="C259" s="146"/>
      <c r="D259" s="146"/>
      <c r="E259" s="146"/>
      <c r="F259" s="146"/>
      <c r="G259" s="146"/>
      <c r="H259" s="146"/>
      <c r="I259" s="146"/>
      <c r="J259" s="146"/>
      <c r="K259" s="146"/>
      <c r="L259" s="146"/>
      <c r="R259" s="157"/>
      <c r="S259" s="157"/>
      <c r="T259" s="157"/>
      <c r="W259" s="157"/>
      <c r="X259" s="157"/>
      <c r="Y259" s="157"/>
      <c r="AB259" s="157"/>
      <c r="AC259" s="157"/>
      <c r="AD259" s="157"/>
      <c r="AG259" s="157"/>
      <c r="AH259" s="157"/>
      <c r="AI259" s="157"/>
    </row>
    <row r="260" spans="2:35" x14ac:dyDescent="0.2">
      <c r="B260" s="146"/>
      <c r="C260" s="146"/>
      <c r="D260" s="146"/>
      <c r="E260" s="146"/>
      <c r="F260" s="146"/>
      <c r="G260" s="146"/>
      <c r="H260" s="146"/>
      <c r="I260" s="146"/>
      <c r="J260" s="146"/>
      <c r="K260" s="146"/>
      <c r="L260" s="146"/>
      <c r="R260" s="157"/>
      <c r="S260" s="157"/>
      <c r="T260" s="157"/>
      <c r="W260" s="157"/>
      <c r="X260" s="157"/>
      <c r="Y260" s="157"/>
      <c r="AB260" s="157"/>
      <c r="AC260" s="157"/>
      <c r="AD260" s="157"/>
      <c r="AG260" s="157"/>
      <c r="AH260" s="157"/>
      <c r="AI260" s="157"/>
    </row>
    <row r="261" spans="2:35" x14ac:dyDescent="0.2">
      <c r="B261" s="146"/>
      <c r="C261" s="146"/>
      <c r="D261" s="146"/>
      <c r="E261" s="146"/>
      <c r="F261" s="146"/>
      <c r="G261" s="146"/>
      <c r="H261" s="146"/>
      <c r="I261" s="146"/>
      <c r="J261" s="146"/>
      <c r="K261" s="146"/>
      <c r="L261" s="146"/>
      <c r="R261" s="157"/>
      <c r="S261" s="157"/>
      <c r="T261" s="157"/>
      <c r="W261" s="157"/>
      <c r="X261" s="157"/>
      <c r="Y261" s="157"/>
      <c r="AB261" s="157"/>
      <c r="AC261" s="157"/>
      <c r="AD261" s="157"/>
      <c r="AG261" s="157"/>
      <c r="AH261" s="157"/>
      <c r="AI261" s="157"/>
    </row>
    <row r="262" spans="2:35" x14ac:dyDescent="0.2">
      <c r="B262" s="146"/>
      <c r="C262" s="146"/>
      <c r="D262" s="146"/>
      <c r="E262" s="146"/>
      <c r="F262" s="146"/>
      <c r="G262" s="146"/>
      <c r="H262" s="146"/>
      <c r="I262" s="146"/>
      <c r="J262" s="146"/>
      <c r="K262" s="146"/>
      <c r="L262" s="146"/>
      <c r="R262" s="157"/>
      <c r="S262" s="157"/>
      <c r="T262" s="157"/>
      <c r="W262" s="157"/>
      <c r="X262" s="157"/>
      <c r="Y262" s="157"/>
      <c r="AB262" s="157"/>
      <c r="AC262" s="157"/>
      <c r="AD262" s="157"/>
      <c r="AG262" s="157"/>
      <c r="AH262" s="157"/>
      <c r="AI262" s="157"/>
    </row>
    <row r="263" spans="2:35" x14ac:dyDescent="0.2">
      <c r="B263" s="146"/>
      <c r="C263" s="146"/>
      <c r="D263" s="146"/>
      <c r="E263" s="146"/>
      <c r="F263" s="146"/>
      <c r="G263" s="146"/>
      <c r="H263" s="146"/>
      <c r="I263" s="146"/>
      <c r="J263" s="146"/>
      <c r="K263" s="146"/>
      <c r="L263" s="146"/>
      <c r="R263" s="157"/>
      <c r="S263" s="157"/>
      <c r="T263" s="157"/>
      <c r="W263" s="157"/>
      <c r="X263" s="157"/>
      <c r="Y263" s="157"/>
      <c r="AB263" s="157"/>
      <c r="AC263" s="157"/>
      <c r="AD263" s="157"/>
      <c r="AG263" s="157"/>
      <c r="AH263" s="157"/>
      <c r="AI263" s="157"/>
    </row>
    <row r="264" spans="2:35" x14ac:dyDescent="0.2">
      <c r="B264" s="146"/>
      <c r="C264" s="146"/>
      <c r="D264" s="146"/>
      <c r="E264" s="146"/>
      <c r="F264" s="146"/>
      <c r="G264" s="146"/>
      <c r="H264" s="146"/>
      <c r="I264" s="146"/>
      <c r="J264" s="146"/>
      <c r="K264" s="146"/>
      <c r="L264" s="146"/>
      <c r="R264" s="157"/>
      <c r="S264" s="157"/>
      <c r="T264" s="157"/>
      <c r="W264" s="157"/>
      <c r="X264" s="157"/>
      <c r="Y264" s="157"/>
      <c r="AB264" s="157"/>
      <c r="AC264" s="157"/>
      <c r="AD264" s="157"/>
      <c r="AG264" s="157"/>
      <c r="AH264" s="157"/>
      <c r="AI264" s="157"/>
    </row>
    <row r="265" spans="2:35" x14ac:dyDescent="0.2">
      <c r="B265" s="146"/>
      <c r="C265" s="146"/>
      <c r="D265" s="146"/>
      <c r="E265" s="146"/>
      <c r="F265" s="146"/>
      <c r="G265" s="146"/>
      <c r="H265" s="146"/>
      <c r="I265" s="146"/>
      <c r="J265" s="146"/>
      <c r="K265" s="146"/>
      <c r="L265" s="146"/>
      <c r="R265" s="157"/>
      <c r="S265" s="157"/>
      <c r="T265" s="157"/>
      <c r="W265" s="157"/>
      <c r="X265" s="157"/>
      <c r="Y265" s="157"/>
      <c r="AB265" s="157"/>
      <c r="AC265" s="157"/>
      <c r="AD265" s="157"/>
      <c r="AG265" s="157"/>
      <c r="AH265" s="157"/>
      <c r="AI265" s="157"/>
    </row>
    <row r="266" spans="2:35" x14ac:dyDescent="0.2">
      <c r="B266" s="146"/>
      <c r="C266" s="146"/>
      <c r="D266" s="146"/>
      <c r="E266" s="146"/>
      <c r="F266" s="146"/>
      <c r="G266" s="146"/>
      <c r="H266" s="146"/>
      <c r="I266" s="146"/>
      <c r="J266" s="146"/>
      <c r="K266" s="146"/>
      <c r="L266" s="146"/>
      <c r="R266" s="157"/>
      <c r="S266" s="157"/>
      <c r="T266" s="157"/>
      <c r="W266" s="157"/>
      <c r="X266" s="157"/>
      <c r="Y266" s="157"/>
      <c r="AB266" s="157"/>
      <c r="AC266" s="157"/>
      <c r="AD266" s="157"/>
      <c r="AG266" s="157"/>
      <c r="AH266" s="157"/>
      <c r="AI266" s="157"/>
    </row>
    <row r="267" spans="2:35" x14ac:dyDescent="0.2">
      <c r="B267" s="146"/>
      <c r="C267" s="146"/>
      <c r="D267" s="146"/>
      <c r="E267" s="146"/>
      <c r="F267" s="146"/>
      <c r="G267" s="146"/>
      <c r="H267" s="146"/>
      <c r="I267" s="146"/>
      <c r="J267" s="146"/>
      <c r="K267" s="146"/>
      <c r="L267" s="146"/>
      <c r="R267" s="157"/>
      <c r="S267" s="157"/>
      <c r="T267" s="157"/>
      <c r="W267" s="157"/>
      <c r="X267" s="157"/>
      <c r="Y267" s="157"/>
      <c r="AB267" s="157"/>
      <c r="AC267" s="157"/>
      <c r="AD267" s="157"/>
      <c r="AG267" s="157"/>
      <c r="AH267" s="157"/>
      <c r="AI267" s="157"/>
    </row>
    <row r="268" spans="2:35" x14ac:dyDescent="0.2">
      <c r="B268" s="146"/>
      <c r="C268" s="146"/>
      <c r="D268" s="146"/>
      <c r="E268" s="146"/>
      <c r="F268" s="146"/>
      <c r="G268" s="146"/>
      <c r="H268" s="146"/>
      <c r="I268" s="146"/>
      <c r="J268" s="146"/>
      <c r="K268" s="146"/>
      <c r="L268" s="146"/>
      <c r="R268" s="157"/>
      <c r="S268" s="157"/>
      <c r="T268" s="157"/>
      <c r="W268" s="157"/>
      <c r="X268" s="157"/>
      <c r="Y268" s="157"/>
      <c r="AB268" s="157"/>
      <c r="AC268" s="157"/>
      <c r="AD268" s="157"/>
      <c r="AG268" s="157"/>
      <c r="AH268" s="157"/>
      <c r="AI268" s="157"/>
    </row>
    <row r="269" spans="2:35" x14ac:dyDescent="0.2">
      <c r="B269" s="146"/>
      <c r="C269" s="146"/>
      <c r="D269" s="146"/>
      <c r="E269" s="146"/>
      <c r="F269" s="146"/>
      <c r="G269" s="146"/>
      <c r="H269" s="146"/>
      <c r="I269" s="146"/>
      <c r="J269" s="146"/>
      <c r="K269" s="146"/>
      <c r="L269" s="146"/>
      <c r="R269" s="157"/>
      <c r="S269" s="157"/>
      <c r="T269" s="157"/>
      <c r="W269" s="157"/>
      <c r="X269" s="157"/>
      <c r="Y269" s="157"/>
      <c r="AB269" s="157"/>
      <c r="AC269" s="157"/>
      <c r="AD269" s="157"/>
      <c r="AG269" s="157"/>
      <c r="AH269" s="157"/>
      <c r="AI269" s="157"/>
    </row>
    <row r="270" spans="2:35" x14ac:dyDescent="0.2">
      <c r="B270" s="146"/>
      <c r="C270" s="146"/>
      <c r="D270" s="146"/>
      <c r="E270" s="146"/>
      <c r="F270" s="146"/>
      <c r="G270" s="146"/>
      <c r="H270" s="146"/>
      <c r="I270" s="146"/>
      <c r="J270" s="146"/>
      <c r="K270" s="146"/>
      <c r="L270" s="146"/>
      <c r="R270" s="157"/>
      <c r="S270" s="157"/>
      <c r="T270" s="157"/>
      <c r="W270" s="157"/>
      <c r="X270" s="157"/>
      <c r="Y270" s="157"/>
      <c r="AB270" s="157"/>
      <c r="AC270" s="157"/>
      <c r="AD270" s="157"/>
      <c r="AG270" s="157"/>
      <c r="AH270" s="157"/>
      <c r="AI270" s="157"/>
    </row>
    <row r="271" spans="2:35" x14ac:dyDescent="0.2">
      <c r="B271" s="146"/>
      <c r="C271" s="146"/>
      <c r="D271" s="146"/>
      <c r="E271" s="146"/>
      <c r="F271" s="146"/>
      <c r="G271" s="146"/>
      <c r="H271" s="146"/>
      <c r="I271" s="146"/>
      <c r="J271" s="146"/>
      <c r="K271" s="146"/>
      <c r="L271" s="146"/>
      <c r="R271" s="157"/>
      <c r="S271" s="157"/>
      <c r="T271" s="157"/>
      <c r="W271" s="157"/>
      <c r="X271" s="157"/>
      <c r="Y271" s="157"/>
      <c r="AB271" s="157"/>
      <c r="AC271" s="157"/>
      <c r="AD271" s="157"/>
      <c r="AG271" s="157"/>
      <c r="AH271" s="157"/>
      <c r="AI271" s="157"/>
    </row>
    <row r="272" spans="2:35" x14ac:dyDescent="0.2">
      <c r="B272" s="146"/>
      <c r="C272" s="146"/>
      <c r="D272" s="146"/>
      <c r="E272" s="146"/>
      <c r="F272" s="146"/>
      <c r="G272" s="146"/>
      <c r="H272" s="146"/>
      <c r="I272" s="146"/>
      <c r="J272" s="146"/>
      <c r="K272" s="146"/>
      <c r="L272" s="146"/>
      <c r="R272" s="157"/>
      <c r="S272" s="157"/>
      <c r="T272" s="157"/>
      <c r="W272" s="157"/>
      <c r="X272" s="157"/>
      <c r="Y272" s="157"/>
      <c r="AB272" s="157"/>
      <c r="AC272" s="157"/>
      <c r="AD272" s="157"/>
      <c r="AG272" s="157"/>
      <c r="AH272" s="157"/>
      <c r="AI272" s="157"/>
    </row>
    <row r="273" spans="2:35" x14ac:dyDescent="0.2">
      <c r="B273" s="146"/>
      <c r="C273" s="146"/>
      <c r="D273" s="146"/>
      <c r="E273" s="146"/>
      <c r="F273" s="146"/>
      <c r="G273" s="146"/>
      <c r="H273" s="146"/>
      <c r="I273" s="146"/>
      <c r="J273" s="146"/>
      <c r="K273" s="146"/>
      <c r="L273" s="146"/>
      <c r="R273" s="157"/>
      <c r="S273" s="157"/>
      <c r="T273" s="157"/>
      <c r="W273" s="157"/>
      <c r="X273" s="157"/>
      <c r="Y273" s="157"/>
      <c r="AB273" s="157"/>
      <c r="AC273" s="157"/>
      <c r="AD273" s="157"/>
      <c r="AG273" s="157"/>
      <c r="AH273" s="157"/>
      <c r="AI273" s="157"/>
    </row>
    <row r="274" spans="2:35" x14ac:dyDescent="0.2">
      <c r="B274" s="146"/>
      <c r="C274" s="146"/>
      <c r="D274" s="146"/>
      <c r="E274" s="146"/>
      <c r="F274" s="146"/>
      <c r="G274" s="146"/>
      <c r="H274" s="146"/>
      <c r="I274" s="146"/>
      <c r="J274" s="146"/>
      <c r="K274" s="146"/>
      <c r="L274" s="146"/>
      <c r="R274" s="157"/>
      <c r="S274" s="157"/>
      <c r="T274" s="157"/>
      <c r="W274" s="157"/>
      <c r="X274" s="157"/>
      <c r="Y274" s="157"/>
      <c r="AB274" s="157"/>
      <c r="AC274" s="157"/>
      <c r="AD274" s="157"/>
      <c r="AG274" s="157"/>
      <c r="AH274" s="157"/>
      <c r="AI274" s="157"/>
    </row>
    <row r="275" spans="2:35" x14ac:dyDescent="0.2">
      <c r="B275" s="146"/>
      <c r="C275" s="146"/>
      <c r="D275" s="146"/>
      <c r="E275" s="146"/>
      <c r="F275" s="146"/>
      <c r="G275" s="146"/>
      <c r="H275" s="146"/>
      <c r="I275" s="146"/>
      <c r="J275" s="146"/>
      <c r="K275" s="146"/>
      <c r="L275" s="146"/>
      <c r="R275" s="157"/>
      <c r="S275" s="157"/>
      <c r="T275" s="157"/>
      <c r="W275" s="157"/>
      <c r="X275" s="157"/>
      <c r="Y275" s="157"/>
      <c r="AB275" s="157"/>
      <c r="AC275" s="157"/>
      <c r="AD275" s="157"/>
      <c r="AG275" s="157"/>
      <c r="AH275" s="157"/>
      <c r="AI275" s="157"/>
    </row>
    <row r="276" spans="2:35" x14ac:dyDescent="0.2">
      <c r="B276" s="146"/>
      <c r="C276" s="146"/>
      <c r="D276" s="146"/>
      <c r="E276" s="146"/>
      <c r="F276" s="146"/>
      <c r="G276" s="146"/>
      <c r="H276" s="146"/>
      <c r="I276" s="146"/>
      <c r="J276" s="146"/>
      <c r="K276" s="146"/>
      <c r="L276" s="146"/>
      <c r="R276" s="157"/>
      <c r="S276" s="157"/>
      <c r="T276" s="157"/>
      <c r="W276" s="157"/>
      <c r="X276" s="157"/>
      <c r="Y276" s="157"/>
      <c r="AB276" s="157"/>
      <c r="AC276" s="157"/>
      <c r="AD276" s="157"/>
      <c r="AG276" s="157"/>
      <c r="AH276" s="157"/>
      <c r="AI276" s="157"/>
    </row>
    <row r="277" spans="2:35" x14ac:dyDescent="0.2">
      <c r="B277" s="146"/>
      <c r="C277" s="146"/>
      <c r="D277" s="146"/>
      <c r="E277" s="146"/>
      <c r="F277" s="146"/>
      <c r="G277" s="146"/>
      <c r="H277" s="146"/>
      <c r="I277" s="146"/>
      <c r="J277" s="146"/>
      <c r="K277" s="146"/>
      <c r="L277" s="146"/>
      <c r="R277" s="157"/>
      <c r="S277" s="157"/>
      <c r="T277" s="157"/>
      <c r="W277" s="157"/>
      <c r="X277" s="157"/>
      <c r="Y277" s="157"/>
      <c r="AB277" s="157"/>
      <c r="AC277" s="157"/>
      <c r="AD277" s="157"/>
      <c r="AG277" s="157"/>
      <c r="AH277" s="157"/>
      <c r="AI277" s="157"/>
    </row>
    <row r="278" spans="2:35" x14ac:dyDescent="0.2">
      <c r="B278" s="146"/>
      <c r="C278" s="146"/>
      <c r="D278" s="146"/>
      <c r="E278" s="146"/>
      <c r="F278" s="146"/>
      <c r="G278" s="146"/>
      <c r="H278" s="146"/>
      <c r="I278" s="146"/>
      <c r="J278" s="146"/>
      <c r="K278" s="146"/>
      <c r="L278" s="146"/>
      <c r="R278" s="157"/>
      <c r="S278" s="157"/>
      <c r="T278" s="157"/>
      <c r="W278" s="157"/>
      <c r="X278" s="157"/>
      <c r="Y278" s="157"/>
      <c r="AB278" s="157"/>
      <c r="AC278" s="157"/>
      <c r="AD278" s="157"/>
      <c r="AG278" s="157"/>
      <c r="AH278" s="157"/>
      <c r="AI278" s="157"/>
    </row>
    <row r="279" spans="2:35" x14ac:dyDescent="0.2">
      <c r="B279" s="146"/>
      <c r="C279" s="146"/>
      <c r="D279" s="146"/>
      <c r="E279" s="146"/>
      <c r="F279" s="146"/>
      <c r="G279" s="146"/>
      <c r="H279" s="146"/>
      <c r="I279" s="146"/>
      <c r="J279" s="146"/>
      <c r="K279" s="146"/>
      <c r="L279" s="146"/>
      <c r="R279" s="157"/>
      <c r="S279" s="157"/>
      <c r="T279" s="157"/>
      <c r="W279" s="157"/>
      <c r="X279" s="157"/>
      <c r="Y279" s="157"/>
      <c r="AB279" s="157"/>
      <c r="AC279" s="157"/>
      <c r="AD279" s="157"/>
      <c r="AG279" s="157"/>
      <c r="AH279" s="157"/>
      <c r="AI279" s="157"/>
    </row>
    <row r="280" spans="2:35" x14ac:dyDescent="0.2">
      <c r="B280" s="146"/>
      <c r="C280" s="146"/>
      <c r="D280" s="146"/>
      <c r="E280" s="146"/>
      <c r="F280" s="146"/>
      <c r="G280" s="146"/>
      <c r="H280" s="146"/>
      <c r="I280" s="146"/>
      <c r="J280" s="146"/>
      <c r="K280" s="146"/>
      <c r="L280" s="146"/>
      <c r="R280" s="157"/>
      <c r="S280" s="157"/>
      <c r="T280" s="157"/>
      <c r="W280" s="157"/>
      <c r="X280" s="157"/>
      <c r="Y280" s="157"/>
      <c r="AB280" s="157"/>
      <c r="AC280" s="157"/>
      <c r="AD280" s="157"/>
      <c r="AG280" s="157"/>
      <c r="AH280" s="157"/>
      <c r="AI280" s="157"/>
    </row>
    <row r="281" spans="2:35" x14ac:dyDescent="0.2">
      <c r="B281" s="146"/>
      <c r="C281" s="146"/>
      <c r="D281" s="146"/>
      <c r="E281" s="146"/>
      <c r="F281" s="146"/>
      <c r="G281" s="146"/>
      <c r="H281" s="146"/>
      <c r="I281" s="146"/>
      <c r="J281" s="146"/>
      <c r="K281" s="146"/>
      <c r="L281" s="146"/>
      <c r="R281" s="157"/>
      <c r="S281" s="157"/>
      <c r="T281" s="157"/>
      <c r="W281" s="157"/>
      <c r="X281" s="157"/>
      <c r="Y281" s="157"/>
      <c r="AB281" s="157"/>
      <c r="AC281" s="157"/>
      <c r="AD281" s="157"/>
      <c r="AG281" s="157"/>
      <c r="AH281" s="157"/>
      <c r="AI281" s="157"/>
    </row>
    <row r="282" spans="2:35" x14ac:dyDescent="0.2">
      <c r="B282" s="146"/>
      <c r="C282" s="146"/>
      <c r="D282" s="146"/>
      <c r="E282" s="146"/>
      <c r="F282" s="146"/>
      <c r="G282" s="146"/>
      <c r="H282" s="146"/>
      <c r="I282" s="146"/>
      <c r="J282" s="146"/>
      <c r="K282" s="146"/>
      <c r="L282" s="146"/>
      <c r="R282" s="157"/>
      <c r="S282" s="157"/>
      <c r="T282" s="157"/>
      <c r="W282" s="157"/>
      <c r="X282" s="157"/>
      <c r="Y282" s="157"/>
      <c r="AB282" s="157"/>
      <c r="AC282" s="157"/>
      <c r="AD282" s="157"/>
      <c r="AG282" s="157"/>
      <c r="AH282" s="157"/>
      <c r="AI282" s="157"/>
    </row>
    <row r="283" spans="2:35" x14ac:dyDescent="0.2">
      <c r="B283" s="146"/>
      <c r="C283" s="146"/>
      <c r="D283" s="146"/>
      <c r="E283" s="146"/>
      <c r="F283" s="146"/>
      <c r="G283" s="146"/>
      <c r="H283" s="146"/>
      <c r="I283" s="146"/>
      <c r="J283" s="146"/>
      <c r="K283" s="146"/>
      <c r="L283" s="146"/>
      <c r="R283" s="157"/>
      <c r="S283" s="157"/>
      <c r="T283" s="157"/>
      <c r="W283" s="157"/>
      <c r="X283" s="157"/>
      <c r="Y283" s="157"/>
      <c r="AB283" s="157"/>
      <c r="AC283" s="157"/>
      <c r="AD283" s="157"/>
      <c r="AG283" s="157"/>
      <c r="AH283" s="157"/>
      <c r="AI283" s="157"/>
    </row>
    <row r="284" spans="2:35" x14ac:dyDescent="0.2">
      <c r="B284" s="146"/>
      <c r="C284" s="146"/>
      <c r="D284" s="146"/>
      <c r="E284" s="146"/>
      <c r="F284" s="146"/>
      <c r="G284" s="146"/>
      <c r="H284" s="146"/>
      <c r="I284" s="146"/>
      <c r="J284" s="146"/>
      <c r="K284" s="146"/>
      <c r="L284" s="146"/>
      <c r="R284" s="157"/>
      <c r="S284" s="157"/>
      <c r="T284" s="157"/>
      <c r="W284" s="157"/>
      <c r="X284" s="157"/>
      <c r="Y284" s="157"/>
      <c r="AB284" s="157"/>
      <c r="AC284" s="157"/>
      <c r="AD284" s="157"/>
      <c r="AG284" s="157"/>
      <c r="AH284" s="157"/>
      <c r="AI284" s="157"/>
    </row>
    <row r="285" spans="2:35" x14ac:dyDescent="0.2">
      <c r="B285" s="146"/>
      <c r="C285" s="146"/>
      <c r="D285" s="146"/>
      <c r="E285" s="146"/>
      <c r="F285" s="146"/>
      <c r="G285" s="146"/>
      <c r="H285" s="146"/>
      <c r="I285" s="146"/>
      <c r="J285" s="146"/>
      <c r="K285" s="146"/>
      <c r="L285" s="146"/>
      <c r="R285" s="157"/>
      <c r="S285" s="157"/>
      <c r="T285" s="157"/>
      <c r="W285" s="157"/>
      <c r="X285" s="157"/>
      <c r="Y285" s="157"/>
      <c r="AB285" s="157"/>
      <c r="AC285" s="157"/>
      <c r="AD285" s="157"/>
      <c r="AG285" s="157"/>
      <c r="AH285" s="157"/>
      <c r="AI285" s="157"/>
    </row>
    <row r="286" spans="2:35" x14ac:dyDescent="0.2">
      <c r="B286" s="146"/>
      <c r="C286" s="146"/>
      <c r="D286" s="146"/>
      <c r="E286" s="146"/>
      <c r="F286" s="146"/>
      <c r="G286" s="146"/>
      <c r="H286" s="146"/>
      <c r="I286" s="146"/>
      <c r="J286" s="146"/>
      <c r="K286" s="146"/>
      <c r="L286" s="146"/>
      <c r="R286" s="157"/>
      <c r="S286" s="157"/>
      <c r="T286" s="157"/>
      <c r="W286" s="157"/>
      <c r="X286" s="157"/>
      <c r="Y286" s="157"/>
      <c r="AB286" s="157"/>
      <c r="AC286" s="157"/>
      <c r="AD286" s="157"/>
      <c r="AG286" s="157"/>
      <c r="AH286" s="157"/>
      <c r="AI286" s="157"/>
    </row>
    <row r="287" spans="2:35" x14ac:dyDescent="0.2">
      <c r="B287" s="146"/>
      <c r="C287" s="146"/>
      <c r="D287" s="146"/>
      <c r="E287" s="146"/>
      <c r="F287" s="146"/>
      <c r="G287" s="146"/>
      <c r="H287" s="146"/>
      <c r="I287" s="146"/>
      <c r="J287" s="146"/>
      <c r="K287" s="146"/>
      <c r="L287" s="146"/>
      <c r="R287" s="157"/>
      <c r="S287" s="157"/>
      <c r="T287" s="157"/>
      <c r="W287" s="157"/>
      <c r="X287" s="157"/>
      <c r="Y287" s="157"/>
      <c r="AB287" s="157"/>
      <c r="AC287" s="157"/>
      <c r="AD287" s="157"/>
      <c r="AG287" s="157"/>
      <c r="AH287" s="157"/>
      <c r="AI287" s="157"/>
    </row>
    <row r="288" spans="2:35" x14ac:dyDescent="0.2">
      <c r="B288" s="146"/>
      <c r="C288" s="146"/>
      <c r="D288" s="146"/>
      <c r="E288" s="146"/>
      <c r="F288" s="146"/>
      <c r="G288" s="146"/>
      <c r="H288" s="146"/>
      <c r="I288" s="146"/>
      <c r="J288" s="146"/>
      <c r="K288" s="146"/>
      <c r="L288" s="146"/>
      <c r="R288" s="157"/>
      <c r="S288" s="157"/>
      <c r="T288" s="157"/>
      <c r="W288" s="157"/>
      <c r="X288" s="157"/>
      <c r="Y288" s="157"/>
      <c r="AB288" s="157"/>
      <c r="AC288" s="157"/>
      <c r="AD288" s="157"/>
      <c r="AG288" s="157"/>
      <c r="AH288" s="157"/>
      <c r="AI288" s="157"/>
    </row>
    <row r="289" spans="2:35" x14ac:dyDescent="0.2">
      <c r="B289" s="146"/>
      <c r="C289" s="146"/>
      <c r="D289" s="146"/>
      <c r="E289" s="146"/>
      <c r="F289" s="146"/>
      <c r="G289" s="146"/>
      <c r="H289" s="146"/>
      <c r="I289" s="146"/>
      <c r="J289" s="146"/>
      <c r="K289" s="146"/>
      <c r="L289" s="146"/>
      <c r="R289" s="157"/>
      <c r="S289" s="157"/>
      <c r="T289" s="157"/>
      <c r="W289" s="157"/>
      <c r="X289" s="157"/>
      <c r="Y289" s="157"/>
      <c r="AB289" s="157"/>
      <c r="AC289" s="157"/>
      <c r="AD289" s="157"/>
      <c r="AG289" s="157"/>
      <c r="AH289" s="157"/>
      <c r="AI289" s="157"/>
    </row>
    <row r="290" spans="2:35" x14ac:dyDescent="0.2">
      <c r="B290" s="146"/>
      <c r="C290" s="146"/>
      <c r="D290" s="146"/>
      <c r="E290" s="146"/>
      <c r="F290" s="146"/>
      <c r="G290" s="146"/>
      <c r="H290" s="146"/>
      <c r="I290" s="146"/>
      <c r="J290" s="146"/>
      <c r="K290" s="146"/>
      <c r="L290" s="146"/>
      <c r="R290" s="157"/>
      <c r="S290" s="157"/>
      <c r="T290" s="157"/>
      <c r="W290" s="157"/>
      <c r="X290" s="157"/>
      <c r="Y290" s="157"/>
      <c r="AB290" s="157"/>
      <c r="AC290" s="157"/>
      <c r="AD290" s="157"/>
      <c r="AG290" s="157"/>
      <c r="AH290" s="157"/>
      <c r="AI290" s="157"/>
    </row>
    <row r="291" spans="2:35" x14ac:dyDescent="0.2">
      <c r="B291" s="146"/>
      <c r="C291" s="146"/>
      <c r="D291" s="146"/>
      <c r="E291" s="146"/>
      <c r="F291" s="146"/>
      <c r="G291" s="146"/>
      <c r="H291" s="146"/>
      <c r="I291" s="146"/>
      <c r="J291" s="146"/>
      <c r="K291" s="146"/>
      <c r="L291" s="146"/>
      <c r="R291" s="157"/>
      <c r="S291" s="157"/>
      <c r="T291" s="157"/>
      <c r="W291" s="157"/>
      <c r="X291" s="157"/>
      <c r="Y291" s="157"/>
      <c r="AB291" s="157"/>
      <c r="AC291" s="157"/>
      <c r="AD291" s="157"/>
      <c r="AG291" s="157"/>
      <c r="AH291" s="157"/>
      <c r="AI291" s="157"/>
    </row>
    <row r="292" spans="2:35" x14ac:dyDescent="0.2">
      <c r="B292" s="146"/>
      <c r="C292" s="146"/>
      <c r="D292" s="146"/>
      <c r="E292" s="146"/>
      <c r="F292" s="146"/>
      <c r="G292" s="146"/>
      <c r="H292" s="146"/>
      <c r="I292" s="146"/>
      <c r="J292" s="146"/>
      <c r="K292" s="146"/>
      <c r="L292" s="146"/>
      <c r="R292" s="157"/>
      <c r="S292" s="157"/>
      <c r="T292" s="157"/>
      <c r="W292" s="157"/>
      <c r="X292" s="157"/>
      <c r="Y292" s="157"/>
      <c r="AB292" s="157"/>
      <c r="AC292" s="157"/>
      <c r="AD292" s="157"/>
      <c r="AG292" s="157"/>
      <c r="AH292" s="157"/>
      <c r="AI292" s="157"/>
    </row>
    <row r="293" spans="2:35" x14ac:dyDescent="0.2">
      <c r="B293" s="146"/>
      <c r="C293" s="146"/>
      <c r="D293" s="146"/>
      <c r="E293" s="146"/>
      <c r="F293" s="146"/>
      <c r="G293" s="146"/>
      <c r="H293" s="146"/>
      <c r="I293" s="146"/>
      <c r="J293" s="146"/>
      <c r="K293" s="146"/>
      <c r="L293" s="146"/>
      <c r="R293" s="157"/>
      <c r="S293" s="157"/>
      <c r="T293" s="157"/>
      <c r="W293" s="157"/>
      <c r="X293" s="157"/>
      <c r="Y293" s="157"/>
      <c r="AB293" s="157"/>
      <c r="AC293" s="157"/>
      <c r="AD293" s="157"/>
      <c r="AG293" s="157"/>
      <c r="AH293" s="157"/>
      <c r="AI293" s="157"/>
    </row>
    <row r="294" spans="2:35" x14ac:dyDescent="0.2">
      <c r="B294" s="146"/>
      <c r="C294" s="146"/>
      <c r="D294" s="146"/>
      <c r="E294" s="146"/>
      <c r="F294" s="146"/>
      <c r="G294" s="146"/>
      <c r="H294" s="146"/>
      <c r="I294" s="146"/>
      <c r="J294" s="146"/>
      <c r="K294" s="146"/>
      <c r="L294" s="146"/>
      <c r="R294" s="157"/>
      <c r="S294" s="157"/>
      <c r="T294" s="157"/>
      <c r="W294" s="157"/>
      <c r="X294" s="157"/>
      <c r="Y294" s="157"/>
      <c r="AB294" s="157"/>
      <c r="AC294" s="157"/>
      <c r="AD294" s="157"/>
      <c r="AG294" s="157"/>
      <c r="AH294" s="157"/>
      <c r="AI294" s="157"/>
    </row>
    <row r="295" spans="2:35" x14ac:dyDescent="0.2">
      <c r="B295" s="146"/>
      <c r="C295" s="146"/>
      <c r="D295" s="146"/>
      <c r="E295" s="146"/>
      <c r="F295" s="146"/>
      <c r="G295" s="146"/>
      <c r="H295" s="146"/>
      <c r="I295" s="146"/>
      <c r="J295" s="146"/>
      <c r="K295" s="146"/>
      <c r="L295" s="146"/>
      <c r="R295" s="157"/>
      <c r="S295" s="157"/>
      <c r="T295" s="157"/>
      <c r="W295" s="157"/>
      <c r="X295" s="157"/>
      <c r="Y295" s="157"/>
      <c r="AB295" s="157"/>
      <c r="AC295" s="157"/>
      <c r="AD295" s="157"/>
      <c r="AG295" s="157"/>
      <c r="AH295" s="157"/>
      <c r="AI295" s="157"/>
    </row>
    <row r="296" spans="2:35" x14ac:dyDescent="0.2">
      <c r="B296" s="146"/>
      <c r="C296" s="146"/>
      <c r="D296" s="146"/>
      <c r="E296" s="146"/>
      <c r="F296" s="146"/>
      <c r="G296" s="146"/>
      <c r="H296" s="146"/>
      <c r="I296" s="146"/>
      <c r="J296" s="146"/>
      <c r="K296" s="146"/>
      <c r="L296" s="146"/>
      <c r="R296" s="157"/>
      <c r="S296" s="157"/>
      <c r="T296" s="157"/>
      <c r="W296" s="157"/>
      <c r="X296" s="157"/>
      <c r="Y296" s="157"/>
      <c r="AB296" s="157"/>
      <c r="AC296" s="157"/>
      <c r="AD296" s="157"/>
      <c r="AG296" s="157"/>
      <c r="AH296" s="157"/>
      <c r="AI296" s="157"/>
    </row>
    <row r="297" spans="2:35" x14ac:dyDescent="0.2">
      <c r="B297" s="146"/>
      <c r="C297" s="146"/>
      <c r="D297" s="146"/>
      <c r="E297" s="146"/>
      <c r="F297" s="146"/>
      <c r="G297" s="146"/>
      <c r="H297" s="146"/>
      <c r="I297" s="146"/>
      <c r="J297" s="146"/>
      <c r="K297" s="146"/>
      <c r="L297" s="146"/>
      <c r="R297" s="157"/>
      <c r="S297" s="157"/>
      <c r="T297" s="157"/>
      <c r="W297" s="157"/>
      <c r="X297" s="157"/>
      <c r="Y297" s="157"/>
      <c r="AB297" s="157"/>
      <c r="AC297" s="157"/>
      <c r="AD297" s="157"/>
      <c r="AG297" s="157"/>
      <c r="AH297" s="157"/>
      <c r="AI297" s="157"/>
    </row>
    <row r="298" spans="2:35" x14ac:dyDescent="0.2">
      <c r="B298" s="146"/>
      <c r="C298" s="146"/>
      <c r="D298" s="146"/>
      <c r="E298" s="146"/>
      <c r="F298" s="146"/>
      <c r="G298" s="146"/>
      <c r="H298" s="146"/>
      <c r="I298" s="146"/>
      <c r="J298" s="146"/>
      <c r="K298" s="146"/>
      <c r="L298" s="146"/>
      <c r="R298" s="157"/>
      <c r="S298" s="157"/>
      <c r="T298" s="157"/>
      <c r="W298" s="157"/>
      <c r="X298" s="157"/>
      <c r="Y298" s="157"/>
      <c r="AB298" s="157"/>
      <c r="AC298" s="157"/>
      <c r="AD298" s="157"/>
      <c r="AG298" s="157"/>
      <c r="AH298" s="157"/>
      <c r="AI298" s="157"/>
    </row>
    <row r="299" spans="2:35" x14ac:dyDescent="0.2">
      <c r="B299" s="146"/>
      <c r="C299" s="146"/>
      <c r="D299" s="146"/>
      <c r="E299" s="146"/>
      <c r="F299" s="146"/>
      <c r="G299" s="146"/>
      <c r="H299" s="146"/>
      <c r="I299" s="146"/>
      <c r="J299" s="146"/>
      <c r="K299" s="146"/>
      <c r="L299" s="146"/>
      <c r="R299" s="157"/>
      <c r="S299" s="157"/>
      <c r="T299" s="157"/>
      <c r="W299" s="157"/>
      <c r="X299" s="157"/>
      <c r="Y299" s="157"/>
      <c r="AB299" s="157"/>
      <c r="AC299" s="157"/>
      <c r="AD299" s="157"/>
      <c r="AG299" s="157"/>
      <c r="AH299" s="157"/>
      <c r="AI299" s="157"/>
    </row>
    <row r="300" spans="2:35" x14ac:dyDescent="0.2">
      <c r="B300" s="146"/>
      <c r="C300" s="146"/>
      <c r="D300" s="146"/>
      <c r="E300" s="146"/>
      <c r="F300" s="146"/>
      <c r="G300" s="146"/>
      <c r="H300" s="146"/>
      <c r="I300" s="146"/>
      <c r="J300" s="146"/>
      <c r="K300" s="146"/>
      <c r="L300" s="146"/>
      <c r="R300" s="157"/>
      <c r="S300" s="157"/>
      <c r="T300" s="157"/>
      <c r="W300" s="157"/>
      <c r="X300" s="157"/>
      <c r="Y300" s="157"/>
      <c r="AB300" s="157"/>
      <c r="AC300" s="157"/>
      <c r="AD300" s="157"/>
      <c r="AG300" s="157"/>
      <c r="AH300" s="157"/>
      <c r="AI300" s="157"/>
    </row>
    <row r="301" spans="2:35" x14ac:dyDescent="0.2">
      <c r="B301" s="146"/>
      <c r="C301" s="146"/>
      <c r="D301" s="146"/>
      <c r="E301" s="146"/>
      <c r="F301" s="146"/>
      <c r="G301" s="146"/>
      <c r="H301" s="146"/>
      <c r="I301" s="146"/>
      <c r="J301" s="146"/>
      <c r="K301" s="146"/>
      <c r="L301" s="146"/>
      <c r="R301" s="157"/>
      <c r="S301" s="157"/>
      <c r="T301" s="157"/>
      <c r="W301" s="157"/>
      <c r="X301" s="157"/>
      <c r="Y301" s="157"/>
      <c r="AB301" s="157"/>
      <c r="AC301" s="157"/>
      <c r="AD301" s="157"/>
      <c r="AG301" s="157"/>
      <c r="AH301" s="157"/>
      <c r="AI301" s="157"/>
    </row>
    <row r="302" spans="2:35" x14ac:dyDescent="0.2">
      <c r="B302" s="146"/>
      <c r="C302" s="146"/>
      <c r="D302" s="146"/>
      <c r="E302" s="146"/>
      <c r="F302" s="146"/>
      <c r="G302" s="146"/>
      <c r="H302" s="146"/>
      <c r="I302" s="146"/>
      <c r="J302" s="146"/>
      <c r="K302" s="146"/>
      <c r="L302" s="146"/>
      <c r="R302" s="157"/>
      <c r="S302" s="157"/>
      <c r="T302" s="157"/>
      <c r="W302" s="157"/>
      <c r="X302" s="157"/>
      <c r="Y302" s="157"/>
      <c r="AB302" s="157"/>
      <c r="AC302" s="157"/>
      <c r="AD302" s="157"/>
      <c r="AG302" s="157"/>
      <c r="AH302" s="157"/>
      <c r="AI302" s="157"/>
    </row>
    <row r="303" spans="2:35" x14ac:dyDescent="0.2">
      <c r="B303" s="146"/>
      <c r="C303" s="146"/>
      <c r="D303" s="146"/>
      <c r="E303" s="146"/>
      <c r="F303" s="146"/>
      <c r="G303" s="146"/>
      <c r="H303" s="146"/>
      <c r="I303" s="146"/>
      <c r="J303" s="146"/>
      <c r="K303" s="146"/>
      <c r="L303" s="146"/>
      <c r="R303" s="157"/>
      <c r="S303" s="157"/>
      <c r="T303" s="157"/>
      <c r="W303" s="157"/>
      <c r="X303" s="157"/>
      <c r="Y303" s="157"/>
      <c r="AB303" s="157"/>
      <c r="AC303" s="157"/>
      <c r="AD303" s="157"/>
      <c r="AG303" s="157"/>
      <c r="AH303" s="157"/>
      <c r="AI303" s="157"/>
    </row>
    <row r="304" spans="2:35" x14ac:dyDescent="0.2">
      <c r="B304" s="146"/>
      <c r="C304" s="146"/>
      <c r="D304" s="146"/>
      <c r="E304" s="146"/>
      <c r="F304" s="146"/>
      <c r="G304" s="146"/>
      <c r="H304" s="146"/>
      <c r="I304" s="146"/>
      <c r="J304" s="146"/>
      <c r="K304" s="146"/>
      <c r="L304" s="146"/>
      <c r="R304" s="157"/>
      <c r="S304" s="157"/>
      <c r="T304" s="157"/>
      <c r="W304" s="157"/>
      <c r="X304" s="157"/>
      <c r="Y304" s="157"/>
      <c r="AB304" s="157"/>
      <c r="AC304" s="157"/>
      <c r="AD304" s="157"/>
      <c r="AG304" s="157"/>
      <c r="AH304" s="157"/>
      <c r="AI304" s="157"/>
    </row>
    <row r="305" spans="2:35" x14ac:dyDescent="0.2">
      <c r="B305" s="146"/>
      <c r="C305" s="146"/>
      <c r="D305" s="146"/>
      <c r="E305" s="146"/>
      <c r="F305" s="146"/>
      <c r="G305" s="146"/>
      <c r="H305" s="146"/>
      <c r="I305" s="146"/>
      <c r="J305" s="146"/>
      <c r="K305" s="146"/>
      <c r="L305" s="146"/>
      <c r="R305" s="157"/>
      <c r="S305" s="157"/>
      <c r="T305" s="157"/>
      <c r="W305" s="157"/>
      <c r="X305" s="157"/>
      <c r="Y305" s="157"/>
      <c r="AB305" s="157"/>
      <c r="AC305" s="157"/>
      <c r="AD305" s="157"/>
      <c r="AG305" s="157"/>
      <c r="AH305" s="157"/>
      <c r="AI305" s="157"/>
    </row>
    <row r="306" spans="2:35" x14ac:dyDescent="0.2">
      <c r="B306" s="146"/>
      <c r="C306" s="146"/>
      <c r="D306" s="146"/>
      <c r="E306" s="146"/>
      <c r="F306" s="146"/>
      <c r="G306" s="146"/>
      <c r="H306" s="146"/>
      <c r="I306" s="146"/>
      <c r="J306" s="146"/>
      <c r="K306" s="146"/>
      <c r="L306" s="146"/>
      <c r="R306" s="157"/>
      <c r="S306" s="157"/>
      <c r="T306" s="157"/>
      <c r="W306" s="157"/>
      <c r="X306" s="157"/>
      <c r="Y306" s="157"/>
      <c r="AB306" s="157"/>
      <c r="AC306" s="157"/>
      <c r="AD306" s="157"/>
      <c r="AG306" s="157"/>
      <c r="AH306" s="157"/>
      <c r="AI306" s="157"/>
    </row>
    <row r="307" spans="2:35" x14ac:dyDescent="0.2">
      <c r="B307" s="146"/>
      <c r="C307" s="146"/>
      <c r="D307" s="146"/>
      <c r="E307" s="146"/>
      <c r="F307" s="146"/>
      <c r="G307" s="146"/>
      <c r="H307" s="146"/>
      <c r="I307" s="146"/>
      <c r="J307" s="146"/>
      <c r="K307" s="146"/>
      <c r="L307" s="146"/>
      <c r="R307" s="157"/>
      <c r="S307" s="157"/>
      <c r="T307" s="157"/>
      <c r="W307" s="157"/>
      <c r="X307" s="157"/>
      <c r="Y307" s="157"/>
      <c r="AB307" s="157"/>
      <c r="AC307" s="157"/>
      <c r="AD307" s="157"/>
      <c r="AG307" s="157"/>
      <c r="AH307" s="157"/>
      <c r="AI307" s="157"/>
    </row>
    <row r="308" spans="2:35" x14ac:dyDescent="0.2">
      <c r="B308" s="146"/>
      <c r="C308" s="146"/>
      <c r="D308" s="146"/>
      <c r="E308" s="146"/>
      <c r="F308" s="146"/>
      <c r="G308" s="146"/>
      <c r="H308" s="146"/>
      <c r="I308" s="146"/>
      <c r="J308" s="146"/>
      <c r="K308" s="146"/>
      <c r="L308" s="146"/>
      <c r="R308" s="157"/>
      <c r="S308" s="157"/>
      <c r="T308" s="157"/>
      <c r="W308" s="157"/>
      <c r="X308" s="157"/>
      <c r="Y308" s="157"/>
      <c r="AB308" s="157"/>
      <c r="AC308" s="157"/>
      <c r="AD308" s="157"/>
      <c r="AG308" s="157"/>
      <c r="AH308" s="157"/>
      <c r="AI308" s="157"/>
    </row>
    <row r="309" spans="2:35" x14ac:dyDescent="0.2">
      <c r="B309" s="146"/>
      <c r="C309" s="146"/>
      <c r="D309" s="146"/>
      <c r="E309" s="146"/>
      <c r="F309" s="146"/>
      <c r="G309" s="146"/>
      <c r="H309" s="146"/>
      <c r="I309" s="146"/>
      <c r="J309" s="146"/>
      <c r="K309" s="146"/>
      <c r="L309" s="146"/>
      <c r="R309" s="157"/>
      <c r="S309" s="157"/>
      <c r="T309" s="157"/>
      <c r="W309" s="157"/>
      <c r="X309" s="157"/>
      <c r="Y309" s="157"/>
      <c r="AB309" s="157"/>
      <c r="AC309" s="157"/>
      <c r="AD309" s="157"/>
      <c r="AG309" s="157"/>
      <c r="AH309" s="157"/>
      <c r="AI309" s="157"/>
    </row>
    <row r="310" spans="2:35" x14ac:dyDescent="0.2">
      <c r="B310" s="146"/>
      <c r="C310" s="146"/>
      <c r="D310" s="146"/>
      <c r="E310" s="146"/>
      <c r="F310" s="146"/>
      <c r="G310" s="146"/>
      <c r="H310" s="146"/>
      <c r="I310" s="146"/>
      <c r="J310" s="146"/>
      <c r="K310" s="146"/>
      <c r="L310" s="146"/>
      <c r="R310" s="157"/>
      <c r="S310" s="157"/>
      <c r="T310" s="157"/>
      <c r="W310" s="157"/>
      <c r="X310" s="157"/>
      <c r="Y310" s="157"/>
      <c r="AB310" s="157"/>
      <c r="AC310" s="157"/>
      <c r="AD310" s="157"/>
      <c r="AG310" s="157"/>
      <c r="AH310" s="157"/>
      <c r="AI310" s="157"/>
    </row>
    <row r="311" spans="2:35" x14ac:dyDescent="0.2">
      <c r="B311" s="146"/>
      <c r="C311" s="146"/>
      <c r="D311" s="146"/>
      <c r="E311" s="146"/>
      <c r="F311" s="146"/>
      <c r="G311" s="146"/>
      <c r="H311" s="146"/>
      <c r="I311" s="146"/>
      <c r="J311" s="146"/>
      <c r="K311" s="146"/>
      <c r="L311" s="146"/>
      <c r="R311" s="157"/>
      <c r="S311" s="157"/>
      <c r="T311" s="157"/>
      <c r="W311" s="157"/>
      <c r="X311" s="157"/>
      <c r="Y311" s="157"/>
      <c r="AB311" s="157"/>
      <c r="AC311" s="157"/>
      <c r="AD311" s="157"/>
      <c r="AG311" s="157"/>
      <c r="AH311" s="157"/>
      <c r="AI311" s="157"/>
    </row>
    <row r="312" spans="2:35" x14ac:dyDescent="0.2">
      <c r="B312" s="146"/>
      <c r="C312" s="146"/>
      <c r="D312" s="146"/>
      <c r="E312" s="146"/>
      <c r="F312" s="146"/>
      <c r="G312" s="146"/>
      <c r="H312" s="146"/>
      <c r="I312" s="146"/>
      <c r="J312" s="146"/>
      <c r="K312" s="146"/>
      <c r="L312" s="146"/>
      <c r="R312" s="157"/>
      <c r="S312" s="157"/>
      <c r="T312" s="157"/>
      <c r="W312" s="157"/>
      <c r="X312" s="157"/>
      <c r="Y312" s="157"/>
      <c r="AB312" s="157"/>
      <c r="AC312" s="157"/>
      <c r="AD312" s="157"/>
      <c r="AG312" s="157"/>
      <c r="AH312" s="157"/>
      <c r="AI312" s="157"/>
    </row>
    <row r="313" spans="2:35" x14ac:dyDescent="0.2">
      <c r="B313" s="146"/>
      <c r="C313" s="146"/>
      <c r="D313" s="146"/>
      <c r="E313" s="146"/>
      <c r="F313" s="146"/>
      <c r="G313" s="146"/>
      <c r="H313" s="146"/>
      <c r="I313" s="146"/>
      <c r="J313" s="146"/>
      <c r="K313" s="146"/>
      <c r="L313" s="146"/>
      <c r="R313" s="157"/>
      <c r="S313" s="157"/>
      <c r="T313" s="157"/>
      <c r="W313" s="157"/>
      <c r="X313" s="157"/>
      <c r="Y313" s="157"/>
      <c r="AB313" s="157"/>
      <c r="AC313" s="157"/>
      <c r="AD313" s="157"/>
      <c r="AG313" s="157"/>
      <c r="AH313" s="157"/>
      <c r="AI313" s="157"/>
    </row>
    <row r="314" spans="2:35" x14ac:dyDescent="0.2">
      <c r="B314" s="146"/>
      <c r="C314" s="146"/>
      <c r="D314" s="146"/>
      <c r="E314" s="146"/>
      <c r="F314" s="146"/>
      <c r="G314" s="146"/>
      <c r="H314" s="146"/>
      <c r="I314" s="146"/>
      <c r="J314" s="146"/>
      <c r="K314" s="146"/>
      <c r="L314" s="146"/>
      <c r="R314" s="157"/>
      <c r="S314" s="157"/>
      <c r="T314" s="157"/>
      <c r="W314" s="157"/>
      <c r="X314" s="157"/>
      <c r="Y314" s="157"/>
      <c r="AB314" s="157"/>
      <c r="AC314" s="157"/>
      <c r="AD314" s="157"/>
      <c r="AG314" s="157"/>
      <c r="AH314" s="157"/>
      <c r="AI314" s="157"/>
    </row>
    <row r="315" spans="2:35" x14ac:dyDescent="0.2">
      <c r="B315" s="146"/>
      <c r="C315" s="146"/>
      <c r="D315" s="146"/>
      <c r="E315" s="146"/>
      <c r="F315" s="146"/>
      <c r="G315" s="146"/>
      <c r="H315" s="146"/>
      <c r="I315" s="146"/>
      <c r="J315" s="146"/>
      <c r="K315" s="146"/>
      <c r="L315" s="146"/>
      <c r="R315" s="157"/>
      <c r="S315" s="157"/>
      <c r="T315" s="157"/>
      <c r="W315" s="157"/>
      <c r="X315" s="157"/>
      <c r="Y315" s="157"/>
      <c r="AB315" s="157"/>
      <c r="AC315" s="157"/>
      <c r="AD315" s="157"/>
      <c r="AG315" s="157"/>
      <c r="AH315" s="157"/>
      <c r="AI315" s="157"/>
    </row>
    <row r="316" spans="2:35" x14ac:dyDescent="0.2">
      <c r="B316" s="146"/>
      <c r="C316" s="146"/>
      <c r="D316" s="146"/>
      <c r="E316" s="146"/>
      <c r="F316" s="146"/>
      <c r="G316" s="146"/>
      <c r="H316" s="146"/>
      <c r="I316" s="146"/>
      <c r="J316" s="146"/>
      <c r="K316" s="146"/>
      <c r="L316" s="146"/>
      <c r="R316" s="157"/>
      <c r="S316" s="157"/>
      <c r="T316" s="157"/>
      <c r="W316" s="157"/>
      <c r="X316" s="157"/>
      <c r="Y316" s="157"/>
      <c r="AB316" s="157"/>
      <c r="AC316" s="157"/>
      <c r="AD316" s="157"/>
      <c r="AG316" s="157"/>
      <c r="AH316" s="157"/>
      <c r="AI316" s="157"/>
    </row>
    <row r="317" spans="2:35" x14ac:dyDescent="0.2">
      <c r="B317" s="146"/>
      <c r="C317" s="146"/>
      <c r="D317" s="146"/>
      <c r="E317" s="146"/>
      <c r="F317" s="146"/>
      <c r="G317" s="146"/>
      <c r="H317" s="146"/>
      <c r="I317" s="146"/>
      <c r="J317" s="146"/>
      <c r="K317" s="146"/>
      <c r="L317" s="146"/>
      <c r="R317" s="157"/>
      <c r="S317" s="157"/>
      <c r="T317" s="157"/>
      <c r="W317" s="157"/>
      <c r="X317" s="157"/>
      <c r="Y317" s="157"/>
      <c r="AB317" s="157"/>
      <c r="AC317" s="157"/>
      <c r="AD317" s="157"/>
      <c r="AG317" s="157"/>
      <c r="AH317" s="157"/>
      <c r="AI317" s="157"/>
    </row>
    <row r="318" spans="2:35" x14ac:dyDescent="0.2">
      <c r="B318" s="146"/>
      <c r="C318" s="146"/>
      <c r="D318" s="146"/>
      <c r="E318" s="146"/>
      <c r="F318" s="146"/>
      <c r="G318" s="146"/>
      <c r="H318" s="146"/>
      <c r="I318" s="146"/>
      <c r="J318" s="146"/>
      <c r="K318" s="146"/>
      <c r="L318" s="146"/>
      <c r="R318" s="157"/>
      <c r="S318" s="157"/>
      <c r="T318" s="157"/>
      <c r="W318" s="157"/>
      <c r="X318" s="157"/>
      <c r="Y318" s="157"/>
      <c r="AB318" s="157"/>
      <c r="AC318" s="157"/>
      <c r="AD318" s="157"/>
      <c r="AG318" s="157"/>
      <c r="AH318" s="157"/>
      <c r="AI318" s="157"/>
    </row>
    <row r="319" spans="2:35" x14ac:dyDescent="0.2">
      <c r="B319" s="146"/>
      <c r="C319" s="146"/>
      <c r="D319" s="146"/>
      <c r="E319" s="146"/>
      <c r="F319" s="146"/>
      <c r="G319" s="146"/>
      <c r="H319" s="146"/>
      <c r="I319" s="146"/>
      <c r="J319" s="146"/>
      <c r="K319" s="146"/>
      <c r="L319" s="146"/>
      <c r="R319" s="157"/>
      <c r="S319" s="157"/>
      <c r="T319" s="157"/>
      <c r="W319" s="157"/>
      <c r="X319" s="157"/>
      <c r="Y319" s="157"/>
      <c r="AB319" s="157"/>
      <c r="AC319" s="157"/>
      <c r="AD319" s="157"/>
      <c r="AG319" s="157"/>
      <c r="AH319" s="157"/>
      <c r="AI319" s="157"/>
    </row>
    <row r="320" spans="2:35" x14ac:dyDescent="0.2">
      <c r="B320" s="146"/>
      <c r="C320" s="146"/>
      <c r="D320" s="146"/>
      <c r="E320" s="146"/>
      <c r="F320" s="146"/>
      <c r="G320" s="146"/>
      <c r="H320" s="146"/>
      <c r="I320" s="146"/>
      <c r="J320" s="146"/>
      <c r="K320" s="146"/>
      <c r="L320" s="146"/>
      <c r="R320" s="157"/>
      <c r="S320" s="157"/>
      <c r="T320" s="157"/>
      <c r="W320" s="157"/>
      <c r="X320" s="157"/>
      <c r="Y320" s="157"/>
      <c r="AB320" s="157"/>
      <c r="AC320" s="157"/>
      <c r="AD320" s="157"/>
      <c r="AG320" s="157"/>
      <c r="AH320" s="157"/>
      <c r="AI320" s="157"/>
    </row>
    <row r="321" spans="2:35" x14ac:dyDescent="0.2">
      <c r="B321" s="146"/>
      <c r="C321" s="146"/>
      <c r="D321" s="146"/>
      <c r="E321" s="146"/>
      <c r="F321" s="146"/>
      <c r="G321" s="146"/>
      <c r="H321" s="146"/>
      <c r="I321" s="146"/>
      <c r="J321" s="146"/>
      <c r="K321" s="146"/>
      <c r="L321" s="146"/>
      <c r="R321" s="157"/>
      <c r="S321" s="157"/>
      <c r="T321" s="157"/>
      <c r="W321" s="157"/>
      <c r="X321" s="157"/>
      <c r="Y321" s="157"/>
      <c r="AB321" s="157"/>
      <c r="AC321" s="157"/>
      <c r="AD321" s="157"/>
      <c r="AG321" s="157"/>
      <c r="AH321" s="157"/>
      <c r="AI321" s="157"/>
    </row>
    <row r="322" spans="2:35" x14ac:dyDescent="0.2">
      <c r="B322" s="146"/>
      <c r="C322" s="146"/>
      <c r="D322" s="146"/>
      <c r="E322" s="146"/>
      <c r="F322" s="146"/>
      <c r="G322" s="146"/>
      <c r="H322" s="146"/>
      <c r="I322" s="146"/>
      <c r="J322" s="146"/>
      <c r="K322" s="146"/>
      <c r="L322" s="146"/>
      <c r="R322" s="157"/>
      <c r="S322" s="157"/>
      <c r="T322" s="157"/>
      <c r="W322" s="157"/>
      <c r="X322" s="157"/>
      <c r="Y322" s="157"/>
      <c r="AB322" s="157"/>
      <c r="AC322" s="157"/>
      <c r="AD322" s="157"/>
      <c r="AG322" s="157"/>
      <c r="AH322" s="157"/>
      <c r="AI322" s="157"/>
    </row>
    <row r="323" spans="2:35" x14ac:dyDescent="0.2">
      <c r="B323" s="146"/>
      <c r="C323" s="146"/>
      <c r="D323" s="146"/>
      <c r="E323" s="146"/>
      <c r="F323" s="146"/>
      <c r="G323" s="146"/>
      <c r="H323" s="146"/>
      <c r="I323" s="146"/>
      <c r="J323" s="146"/>
      <c r="K323" s="146"/>
      <c r="L323" s="146"/>
      <c r="R323" s="157"/>
      <c r="S323" s="157"/>
      <c r="T323" s="157"/>
      <c r="W323" s="157"/>
      <c r="X323" s="157"/>
      <c r="Y323" s="157"/>
      <c r="AB323" s="157"/>
      <c r="AC323" s="157"/>
      <c r="AD323" s="157"/>
      <c r="AG323" s="157"/>
      <c r="AH323" s="157"/>
      <c r="AI323" s="157"/>
    </row>
    <row r="324" spans="2:35" x14ac:dyDescent="0.2">
      <c r="B324" s="146"/>
      <c r="C324" s="146"/>
      <c r="D324" s="146"/>
      <c r="E324" s="146"/>
      <c r="F324" s="146"/>
      <c r="G324" s="146"/>
      <c r="H324" s="146"/>
      <c r="I324" s="146"/>
      <c r="J324" s="146"/>
      <c r="K324" s="146"/>
      <c r="L324" s="146"/>
      <c r="R324" s="157"/>
      <c r="S324" s="157"/>
      <c r="T324" s="157"/>
      <c r="W324" s="157"/>
      <c r="X324" s="157"/>
      <c r="Y324" s="157"/>
      <c r="AB324" s="157"/>
      <c r="AC324" s="157"/>
      <c r="AD324" s="157"/>
      <c r="AG324" s="157"/>
      <c r="AH324" s="157"/>
      <c r="AI324" s="157"/>
    </row>
    <row r="325" spans="2:35" x14ac:dyDescent="0.2">
      <c r="B325" s="146"/>
      <c r="C325" s="146"/>
      <c r="D325" s="146"/>
      <c r="E325" s="146"/>
      <c r="F325" s="146"/>
      <c r="G325" s="146"/>
      <c r="H325" s="146"/>
      <c r="I325" s="146"/>
      <c r="J325" s="146"/>
      <c r="K325" s="146"/>
      <c r="L325" s="146"/>
      <c r="R325" s="157"/>
      <c r="S325" s="157"/>
      <c r="T325" s="157"/>
      <c r="W325" s="157"/>
      <c r="X325" s="157"/>
      <c r="Y325" s="157"/>
      <c r="AB325" s="157"/>
      <c r="AC325" s="157"/>
      <c r="AD325" s="157"/>
      <c r="AG325" s="157"/>
      <c r="AH325" s="157"/>
      <c r="AI325" s="157"/>
    </row>
    <row r="326" spans="2:35" x14ac:dyDescent="0.2">
      <c r="B326" s="146"/>
      <c r="C326" s="146"/>
      <c r="D326" s="146"/>
      <c r="E326" s="146"/>
      <c r="F326" s="146"/>
      <c r="G326" s="146"/>
      <c r="H326" s="146"/>
      <c r="I326" s="146"/>
      <c r="J326" s="146"/>
      <c r="K326" s="146"/>
      <c r="L326" s="146"/>
      <c r="R326" s="157"/>
      <c r="S326" s="157"/>
      <c r="T326" s="157"/>
      <c r="W326" s="157"/>
      <c r="X326" s="157"/>
      <c r="Y326" s="157"/>
      <c r="AB326" s="157"/>
      <c r="AC326" s="157"/>
      <c r="AD326" s="157"/>
      <c r="AG326" s="157"/>
      <c r="AH326" s="157"/>
      <c r="AI326" s="157"/>
    </row>
    <row r="327" spans="2:35" x14ac:dyDescent="0.2">
      <c r="B327" s="146"/>
      <c r="C327" s="146"/>
      <c r="D327" s="146"/>
      <c r="E327" s="146"/>
      <c r="F327" s="146"/>
      <c r="G327" s="146"/>
      <c r="H327" s="146"/>
      <c r="I327" s="146"/>
      <c r="J327" s="146"/>
      <c r="K327" s="146"/>
      <c r="L327" s="146"/>
      <c r="R327" s="157"/>
      <c r="S327" s="157"/>
      <c r="T327" s="157"/>
      <c r="W327" s="157"/>
      <c r="X327" s="157"/>
      <c r="Y327" s="157"/>
      <c r="AB327" s="157"/>
      <c r="AC327" s="157"/>
      <c r="AD327" s="157"/>
      <c r="AG327" s="157"/>
      <c r="AH327" s="157"/>
      <c r="AI327" s="157"/>
    </row>
    <row r="328" spans="2:35" x14ac:dyDescent="0.2">
      <c r="B328" s="146"/>
      <c r="C328" s="146"/>
      <c r="D328" s="146"/>
      <c r="E328" s="146"/>
      <c r="F328" s="146"/>
      <c r="G328" s="146"/>
      <c r="H328" s="146"/>
      <c r="I328" s="146"/>
      <c r="J328" s="146"/>
      <c r="K328" s="146"/>
      <c r="L328" s="146"/>
      <c r="R328" s="157"/>
      <c r="S328" s="157"/>
      <c r="T328" s="157"/>
      <c r="W328" s="157"/>
      <c r="X328" s="157"/>
      <c r="Y328" s="157"/>
      <c r="AB328" s="157"/>
      <c r="AC328" s="157"/>
      <c r="AD328" s="157"/>
      <c r="AG328" s="157"/>
      <c r="AH328" s="157"/>
      <c r="AI328" s="157"/>
    </row>
    <row r="329" spans="2:35" x14ac:dyDescent="0.2">
      <c r="B329" s="146"/>
      <c r="C329" s="146"/>
      <c r="D329" s="146"/>
      <c r="E329" s="146"/>
      <c r="F329" s="146"/>
      <c r="G329" s="146"/>
      <c r="H329" s="146"/>
      <c r="I329" s="146"/>
      <c r="J329" s="146"/>
      <c r="K329" s="146"/>
      <c r="L329" s="146"/>
      <c r="R329" s="157"/>
      <c r="S329" s="157"/>
      <c r="T329" s="157"/>
      <c r="W329" s="157"/>
      <c r="X329" s="157"/>
      <c r="Y329" s="157"/>
      <c r="AB329" s="157"/>
      <c r="AC329" s="157"/>
      <c r="AD329" s="157"/>
      <c r="AG329" s="157"/>
      <c r="AH329" s="157"/>
      <c r="AI329" s="157"/>
    </row>
    <row r="330" spans="2:35" x14ac:dyDescent="0.2">
      <c r="B330" s="146"/>
      <c r="C330" s="146"/>
      <c r="D330" s="146"/>
      <c r="E330" s="146"/>
      <c r="F330" s="146"/>
      <c r="G330" s="146"/>
      <c r="H330" s="146"/>
      <c r="I330" s="146"/>
      <c r="J330" s="146"/>
      <c r="K330" s="146"/>
      <c r="L330" s="146"/>
      <c r="R330" s="157"/>
      <c r="S330" s="157"/>
      <c r="T330" s="157"/>
      <c r="W330" s="157"/>
      <c r="X330" s="157"/>
      <c r="Y330" s="157"/>
      <c r="AB330" s="157"/>
      <c r="AC330" s="157"/>
      <c r="AD330" s="157"/>
      <c r="AG330" s="157"/>
      <c r="AH330" s="157"/>
      <c r="AI330" s="157"/>
    </row>
    <row r="331" spans="2:35" x14ac:dyDescent="0.2">
      <c r="B331" s="146"/>
      <c r="C331" s="146"/>
      <c r="D331" s="146"/>
      <c r="E331" s="146"/>
      <c r="F331" s="146"/>
      <c r="G331" s="146"/>
      <c r="H331" s="146"/>
      <c r="I331" s="146"/>
      <c r="J331" s="146"/>
      <c r="K331" s="146"/>
      <c r="L331" s="146"/>
      <c r="R331" s="157"/>
      <c r="S331" s="157"/>
      <c r="T331" s="157"/>
      <c r="W331" s="157"/>
      <c r="X331" s="157"/>
      <c r="Y331" s="157"/>
      <c r="AB331" s="157"/>
      <c r="AC331" s="157"/>
      <c r="AD331" s="157"/>
      <c r="AG331" s="157"/>
      <c r="AH331" s="157"/>
      <c r="AI331" s="157"/>
    </row>
    <row r="332" spans="2:35" x14ac:dyDescent="0.2">
      <c r="B332" s="146"/>
      <c r="C332" s="146"/>
      <c r="D332" s="146"/>
      <c r="E332" s="146"/>
      <c r="F332" s="146"/>
      <c r="G332" s="146"/>
      <c r="H332" s="146"/>
      <c r="I332" s="146"/>
      <c r="J332" s="146"/>
      <c r="K332" s="146"/>
      <c r="L332" s="146"/>
      <c r="R332" s="157"/>
      <c r="S332" s="157"/>
      <c r="T332" s="157"/>
      <c r="W332" s="157"/>
      <c r="X332" s="157"/>
      <c r="Y332" s="157"/>
      <c r="AB332" s="157"/>
      <c r="AC332" s="157"/>
      <c r="AD332" s="157"/>
      <c r="AG332" s="157"/>
      <c r="AH332" s="157"/>
      <c r="AI332" s="157"/>
    </row>
    <row r="333" spans="2:35" x14ac:dyDescent="0.2">
      <c r="B333" s="146"/>
      <c r="C333" s="146"/>
      <c r="D333" s="146"/>
      <c r="E333" s="146"/>
      <c r="F333" s="146"/>
      <c r="G333" s="146"/>
      <c r="H333" s="146"/>
      <c r="I333" s="146"/>
      <c r="J333" s="146"/>
      <c r="K333" s="146"/>
      <c r="L333" s="146"/>
      <c r="R333" s="157"/>
      <c r="S333" s="157"/>
      <c r="T333" s="157"/>
      <c r="W333" s="157"/>
      <c r="X333" s="157"/>
      <c r="Y333" s="157"/>
      <c r="AB333" s="157"/>
      <c r="AC333" s="157"/>
      <c r="AD333" s="157"/>
      <c r="AG333" s="157"/>
      <c r="AH333" s="157"/>
      <c r="AI333" s="157"/>
    </row>
    <row r="334" spans="2:35" x14ac:dyDescent="0.2">
      <c r="B334" s="146"/>
      <c r="C334" s="146"/>
      <c r="D334" s="146"/>
      <c r="E334" s="146"/>
      <c r="F334" s="146"/>
      <c r="G334" s="146"/>
      <c r="H334" s="146"/>
      <c r="I334" s="146"/>
      <c r="J334" s="146"/>
      <c r="K334" s="146"/>
      <c r="L334" s="146"/>
      <c r="R334" s="157"/>
      <c r="S334" s="157"/>
      <c r="T334" s="157"/>
      <c r="W334" s="157"/>
      <c r="X334" s="157"/>
      <c r="Y334" s="157"/>
      <c r="AB334" s="157"/>
      <c r="AC334" s="157"/>
      <c r="AD334" s="157"/>
      <c r="AG334" s="157"/>
      <c r="AH334" s="157"/>
      <c r="AI334" s="157"/>
    </row>
    <row r="335" spans="2:35" x14ac:dyDescent="0.2">
      <c r="B335" s="146"/>
      <c r="C335" s="146"/>
      <c r="D335" s="146"/>
      <c r="E335" s="146"/>
      <c r="F335" s="146"/>
      <c r="G335" s="146"/>
      <c r="H335" s="146"/>
      <c r="I335" s="146"/>
      <c r="J335" s="146"/>
      <c r="K335" s="146"/>
      <c r="L335" s="146"/>
      <c r="R335" s="157"/>
      <c r="S335" s="157"/>
      <c r="T335" s="157"/>
      <c r="W335" s="157"/>
      <c r="X335" s="157"/>
      <c r="Y335" s="157"/>
      <c r="AB335" s="157"/>
      <c r="AC335" s="157"/>
      <c r="AD335" s="157"/>
      <c r="AG335" s="157"/>
      <c r="AH335" s="157"/>
      <c r="AI335" s="157"/>
    </row>
    <row r="336" spans="2:35" x14ac:dyDescent="0.2">
      <c r="B336" s="146"/>
      <c r="C336" s="146"/>
      <c r="D336" s="146"/>
      <c r="E336" s="146"/>
      <c r="F336" s="146"/>
      <c r="G336" s="146"/>
      <c r="H336" s="146"/>
      <c r="I336" s="146"/>
      <c r="J336" s="146"/>
      <c r="K336" s="146"/>
      <c r="L336" s="146"/>
      <c r="R336" s="157"/>
      <c r="S336" s="157"/>
      <c r="T336" s="157"/>
      <c r="W336" s="157"/>
      <c r="X336" s="157"/>
      <c r="Y336" s="157"/>
      <c r="AB336" s="157"/>
      <c r="AC336" s="157"/>
      <c r="AD336" s="157"/>
      <c r="AG336" s="157"/>
      <c r="AH336" s="157"/>
      <c r="AI336" s="157"/>
    </row>
    <row r="337" spans="2:35" x14ac:dyDescent="0.2">
      <c r="B337" s="146"/>
      <c r="C337" s="146"/>
      <c r="D337" s="146"/>
      <c r="E337" s="146"/>
      <c r="F337" s="146"/>
      <c r="G337" s="146"/>
      <c r="H337" s="146"/>
      <c r="I337" s="146"/>
      <c r="J337" s="146"/>
      <c r="K337" s="146"/>
      <c r="L337" s="146"/>
      <c r="R337" s="157"/>
      <c r="S337" s="157"/>
      <c r="T337" s="157"/>
      <c r="W337" s="157"/>
      <c r="X337" s="157"/>
      <c r="Y337" s="157"/>
      <c r="AB337" s="157"/>
      <c r="AC337" s="157"/>
      <c r="AD337" s="157"/>
      <c r="AG337" s="157"/>
      <c r="AH337" s="157"/>
      <c r="AI337" s="157"/>
    </row>
    <row r="338" spans="2:35" x14ac:dyDescent="0.2">
      <c r="B338" s="146"/>
      <c r="C338" s="146"/>
      <c r="D338" s="146"/>
      <c r="E338" s="146"/>
      <c r="F338" s="146"/>
      <c r="G338" s="146"/>
      <c r="H338" s="146"/>
      <c r="I338" s="146"/>
      <c r="J338" s="146"/>
      <c r="K338" s="146"/>
      <c r="L338" s="146"/>
      <c r="R338" s="157"/>
      <c r="S338" s="157"/>
      <c r="T338" s="157"/>
      <c r="W338" s="157"/>
      <c r="X338" s="157"/>
      <c r="Y338" s="157"/>
      <c r="AB338" s="157"/>
      <c r="AC338" s="157"/>
      <c r="AD338" s="157"/>
      <c r="AG338" s="157"/>
      <c r="AH338" s="157"/>
      <c r="AI338" s="157"/>
    </row>
    <row r="339" spans="2:35" x14ac:dyDescent="0.2">
      <c r="B339" s="146"/>
      <c r="C339" s="146"/>
      <c r="D339" s="146"/>
      <c r="E339" s="146"/>
      <c r="F339" s="146"/>
      <c r="G339" s="146"/>
      <c r="H339" s="146"/>
      <c r="I339" s="146"/>
      <c r="J339" s="146"/>
      <c r="K339" s="146"/>
      <c r="L339" s="146"/>
      <c r="R339" s="157"/>
      <c r="S339" s="157"/>
      <c r="T339" s="157"/>
      <c r="W339" s="157"/>
      <c r="X339" s="157"/>
      <c r="Y339" s="157"/>
      <c r="AB339" s="157"/>
      <c r="AC339" s="157"/>
      <c r="AD339" s="157"/>
      <c r="AG339" s="157"/>
      <c r="AH339" s="157"/>
      <c r="AI339" s="157"/>
    </row>
    <row r="340" spans="2:35" x14ac:dyDescent="0.2">
      <c r="B340" s="146"/>
      <c r="C340" s="146"/>
      <c r="D340" s="146"/>
      <c r="E340" s="146"/>
      <c r="F340" s="146"/>
      <c r="G340" s="146"/>
      <c r="H340" s="146"/>
      <c r="I340" s="146"/>
      <c r="J340" s="146"/>
      <c r="K340" s="146"/>
      <c r="L340" s="146"/>
      <c r="R340" s="157"/>
      <c r="S340" s="157"/>
      <c r="T340" s="157"/>
      <c r="W340" s="157"/>
      <c r="X340" s="157"/>
      <c r="Y340" s="157"/>
      <c r="AB340" s="157"/>
      <c r="AC340" s="157"/>
      <c r="AD340" s="157"/>
      <c r="AG340" s="157"/>
      <c r="AH340" s="157"/>
      <c r="AI340" s="157"/>
    </row>
    <row r="341" spans="2:35" x14ac:dyDescent="0.2">
      <c r="B341" s="146"/>
      <c r="C341" s="146"/>
      <c r="D341" s="146"/>
      <c r="E341" s="146"/>
      <c r="F341" s="146"/>
      <c r="G341" s="146"/>
      <c r="H341" s="146"/>
      <c r="I341" s="146"/>
      <c r="J341" s="146"/>
      <c r="K341" s="146"/>
      <c r="L341" s="146"/>
      <c r="R341" s="157"/>
      <c r="S341" s="157"/>
      <c r="T341" s="157"/>
      <c r="W341" s="157"/>
      <c r="X341" s="157"/>
      <c r="Y341" s="157"/>
      <c r="AB341" s="157"/>
      <c r="AC341" s="157"/>
      <c r="AD341" s="157"/>
      <c r="AG341" s="157"/>
      <c r="AH341" s="157"/>
      <c r="AI341" s="157"/>
    </row>
    <row r="342" spans="2:35" x14ac:dyDescent="0.2">
      <c r="B342" s="146"/>
      <c r="C342" s="146"/>
      <c r="D342" s="146"/>
      <c r="E342" s="146"/>
      <c r="F342" s="146"/>
      <c r="G342" s="146"/>
      <c r="H342" s="146"/>
      <c r="I342" s="146"/>
      <c r="J342" s="146"/>
      <c r="K342" s="146"/>
      <c r="L342" s="146"/>
      <c r="R342" s="157"/>
      <c r="S342" s="157"/>
      <c r="T342" s="157"/>
      <c r="W342" s="157"/>
      <c r="X342" s="157"/>
      <c r="Y342" s="157"/>
      <c r="AB342" s="157"/>
      <c r="AC342" s="157"/>
      <c r="AD342" s="157"/>
      <c r="AG342" s="157"/>
      <c r="AH342" s="157"/>
      <c r="AI342" s="157"/>
    </row>
    <row r="343" spans="2:35" x14ac:dyDescent="0.2">
      <c r="B343" s="146"/>
      <c r="C343" s="146"/>
      <c r="D343" s="146"/>
      <c r="E343" s="146"/>
      <c r="F343" s="146"/>
      <c r="G343" s="146"/>
      <c r="H343" s="146"/>
      <c r="I343" s="146"/>
      <c r="J343" s="146"/>
      <c r="K343" s="146"/>
      <c r="L343" s="146"/>
      <c r="R343" s="157"/>
      <c r="S343" s="157"/>
      <c r="T343" s="157"/>
      <c r="W343" s="157"/>
      <c r="X343" s="157"/>
      <c r="Y343" s="157"/>
      <c r="AB343" s="157"/>
      <c r="AC343" s="157"/>
      <c r="AD343" s="157"/>
      <c r="AG343" s="157"/>
      <c r="AH343" s="157"/>
      <c r="AI343" s="157"/>
    </row>
    <row r="344" spans="2:35" x14ac:dyDescent="0.2">
      <c r="B344" s="146"/>
      <c r="C344" s="146"/>
      <c r="D344" s="146"/>
      <c r="E344" s="146"/>
      <c r="F344" s="146"/>
      <c r="G344" s="146"/>
      <c r="H344" s="146"/>
      <c r="I344" s="146"/>
      <c r="J344" s="146"/>
      <c r="K344" s="146"/>
      <c r="L344" s="146"/>
      <c r="R344" s="157"/>
      <c r="S344" s="157"/>
      <c r="T344" s="157"/>
      <c r="W344" s="157"/>
      <c r="X344" s="157"/>
      <c r="Y344" s="157"/>
      <c r="AB344" s="157"/>
      <c r="AC344" s="157"/>
      <c r="AD344" s="157"/>
      <c r="AG344" s="157"/>
      <c r="AH344" s="157"/>
      <c r="AI344" s="157"/>
    </row>
    <row r="345" spans="2:35" x14ac:dyDescent="0.2">
      <c r="B345" s="146"/>
      <c r="C345" s="146"/>
      <c r="D345" s="146"/>
      <c r="E345" s="146"/>
      <c r="F345" s="146"/>
      <c r="G345" s="146"/>
      <c r="H345" s="146"/>
      <c r="I345" s="146"/>
      <c r="J345" s="146"/>
      <c r="K345" s="146"/>
      <c r="L345" s="146"/>
      <c r="R345" s="157"/>
      <c r="S345" s="157"/>
      <c r="T345" s="157"/>
      <c r="W345" s="157"/>
      <c r="X345" s="157"/>
      <c r="Y345" s="157"/>
      <c r="AB345" s="157"/>
      <c r="AC345" s="157"/>
      <c r="AD345" s="157"/>
      <c r="AG345" s="157"/>
      <c r="AH345" s="157"/>
      <c r="AI345" s="157"/>
    </row>
    <row r="346" spans="2:35" x14ac:dyDescent="0.2">
      <c r="B346" s="146"/>
      <c r="C346" s="146"/>
      <c r="D346" s="146"/>
      <c r="E346" s="146"/>
      <c r="F346" s="146"/>
      <c r="G346" s="146"/>
      <c r="H346" s="146"/>
      <c r="I346" s="146"/>
      <c r="J346" s="146"/>
      <c r="K346" s="146"/>
      <c r="L346" s="146"/>
      <c r="R346" s="157"/>
      <c r="S346" s="157"/>
      <c r="T346" s="157"/>
      <c r="W346" s="157"/>
      <c r="X346" s="157"/>
      <c r="Y346" s="157"/>
      <c r="AB346" s="157"/>
      <c r="AC346" s="157"/>
      <c r="AD346" s="157"/>
      <c r="AG346" s="157"/>
      <c r="AH346" s="157"/>
      <c r="AI346" s="157"/>
    </row>
    <row r="347" spans="2:35" x14ac:dyDescent="0.2">
      <c r="B347" s="146"/>
      <c r="C347" s="146"/>
      <c r="D347" s="146"/>
      <c r="E347" s="146"/>
      <c r="F347" s="146"/>
      <c r="G347" s="146"/>
      <c r="H347" s="146"/>
      <c r="I347" s="146"/>
      <c r="J347" s="146"/>
      <c r="K347" s="146"/>
      <c r="L347" s="146"/>
      <c r="R347" s="157"/>
      <c r="S347" s="157"/>
      <c r="T347" s="157"/>
      <c r="W347" s="157"/>
      <c r="X347" s="157"/>
      <c r="Y347" s="157"/>
      <c r="AB347" s="157"/>
      <c r="AC347" s="157"/>
      <c r="AD347" s="157"/>
      <c r="AG347" s="157"/>
      <c r="AH347" s="157"/>
      <c r="AI347" s="157"/>
    </row>
    <row r="348" spans="2:35" x14ac:dyDescent="0.2">
      <c r="B348" s="146"/>
      <c r="C348" s="146"/>
      <c r="D348" s="146"/>
      <c r="E348" s="146"/>
      <c r="F348" s="146"/>
      <c r="G348" s="146"/>
      <c r="H348" s="146"/>
      <c r="I348" s="146"/>
      <c r="J348" s="146"/>
      <c r="K348" s="146"/>
      <c r="L348" s="146"/>
      <c r="R348" s="157"/>
      <c r="S348" s="157"/>
      <c r="T348" s="157"/>
      <c r="W348" s="157"/>
      <c r="X348" s="157"/>
      <c r="Y348" s="157"/>
      <c r="AB348" s="157"/>
      <c r="AC348" s="157"/>
      <c r="AD348" s="157"/>
      <c r="AG348" s="157"/>
      <c r="AH348" s="157"/>
      <c r="AI348" s="157"/>
    </row>
    <row r="349" spans="2:35" x14ac:dyDescent="0.2">
      <c r="B349" s="146"/>
      <c r="C349" s="146"/>
      <c r="D349" s="146"/>
      <c r="E349" s="146"/>
      <c r="F349" s="146"/>
      <c r="G349" s="146"/>
      <c r="H349" s="146"/>
      <c r="I349" s="146"/>
      <c r="J349" s="146"/>
      <c r="K349" s="146"/>
      <c r="L349" s="146"/>
      <c r="R349" s="157"/>
      <c r="S349" s="157"/>
      <c r="T349" s="157"/>
      <c r="W349" s="157"/>
      <c r="X349" s="157"/>
      <c r="Y349" s="157"/>
      <c r="AB349" s="157"/>
      <c r="AC349" s="157"/>
      <c r="AD349" s="157"/>
      <c r="AG349" s="157"/>
      <c r="AH349" s="157"/>
      <c r="AI349" s="157"/>
    </row>
    <row r="350" spans="2:35" x14ac:dyDescent="0.2">
      <c r="B350" s="146"/>
      <c r="C350" s="146"/>
      <c r="D350" s="146"/>
      <c r="E350" s="146"/>
      <c r="F350" s="146"/>
      <c r="G350" s="146"/>
      <c r="H350" s="146"/>
      <c r="I350" s="146"/>
      <c r="J350" s="146"/>
      <c r="K350" s="146"/>
      <c r="L350" s="146"/>
      <c r="R350" s="157"/>
      <c r="S350" s="157"/>
      <c r="T350" s="157"/>
      <c r="W350" s="157"/>
      <c r="X350" s="157"/>
      <c r="Y350" s="157"/>
      <c r="AB350" s="157"/>
      <c r="AC350" s="157"/>
      <c r="AD350" s="157"/>
      <c r="AG350" s="157"/>
      <c r="AH350" s="157"/>
      <c r="AI350" s="157"/>
    </row>
    <row r="351" spans="2:35" x14ac:dyDescent="0.2">
      <c r="B351" s="146"/>
      <c r="C351" s="146"/>
      <c r="D351" s="146"/>
      <c r="E351" s="146"/>
      <c r="F351" s="146"/>
      <c r="G351" s="146"/>
      <c r="H351" s="146"/>
      <c r="I351" s="146"/>
      <c r="J351" s="146"/>
      <c r="K351" s="146"/>
      <c r="L351" s="146"/>
      <c r="R351" s="157"/>
      <c r="S351" s="157"/>
      <c r="T351" s="157"/>
      <c r="W351" s="157"/>
      <c r="X351" s="157"/>
      <c r="Y351" s="157"/>
      <c r="AB351" s="157"/>
      <c r="AC351" s="157"/>
      <c r="AD351" s="157"/>
      <c r="AG351" s="157"/>
      <c r="AH351" s="157"/>
      <c r="AI351" s="157"/>
    </row>
    <row r="352" spans="2:35" x14ac:dyDescent="0.2">
      <c r="B352" s="146"/>
      <c r="C352" s="146"/>
      <c r="D352" s="146"/>
      <c r="E352" s="146"/>
      <c r="F352" s="146"/>
      <c r="G352" s="146"/>
      <c r="H352" s="146"/>
      <c r="I352" s="146"/>
      <c r="J352" s="146"/>
      <c r="K352" s="146"/>
      <c r="L352" s="146"/>
      <c r="R352" s="157"/>
      <c r="S352" s="157"/>
      <c r="T352" s="157"/>
      <c r="W352" s="157"/>
      <c r="X352" s="157"/>
      <c r="Y352" s="157"/>
      <c r="AB352" s="157"/>
      <c r="AC352" s="157"/>
      <c r="AD352" s="157"/>
      <c r="AG352" s="157"/>
      <c r="AH352" s="157"/>
      <c r="AI352" s="157"/>
    </row>
    <row r="353" spans="2:35" x14ac:dyDescent="0.2">
      <c r="B353" s="146"/>
      <c r="C353" s="146"/>
      <c r="D353" s="146"/>
      <c r="E353" s="146"/>
      <c r="F353" s="146"/>
      <c r="G353" s="146"/>
      <c r="H353" s="146"/>
      <c r="I353" s="146"/>
      <c r="J353" s="146"/>
      <c r="K353" s="146"/>
      <c r="L353" s="146"/>
      <c r="R353" s="157"/>
      <c r="S353" s="157"/>
      <c r="T353" s="157"/>
      <c r="W353" s="157"/>
      <c r="X353" s="157"/>
      <c r="Y353" s="157"/>
      <c r="AB353" s="157"/>
      <c r="AC353" s="157"/>
      <c r="AD353" s="157"/>
      <c r="AG353" s="157"/>
      <c r="AH353" s="157"/>
      <c r="AI353" s="157"/>
    </row>
    <row r="354" spans="2:35" x14ac:dyDescent="0.2">
      <c r="B354" s="146"/>
      <c r="C354" s="146"/>
      <c r="D354" s="146"/>
      <c r="E354" s="146"/>
      <c r="F354" s="146"/>
      <c r="G354" s="146"/>
      <c r="H354" s="146"/>
      <c r="I354" s="146"/>
      <c r="J354" s="146"/>
      <c r="K354" s="146"/>
      <c r="L354" s="146"/>
      <c r="R354" s="157"/>
      <c r="S354" s="157"/>
      <c r="T354" s="157"/>
      <c r="W354" s="157"/>
      <c r="X354" s="157"/>
      <c r="Y354" s="157"/>
      <c r="AB354" s="157"/>
      <c r="AC354" s="157"/>
      <c r="AD354" s="157"/>
      <c r="AG354" s="157"/>
      <c r="AH354" s="157"/>
      <c r="AI354" s="157"/>
    </row>
    <row r="355" spans="2:35" x14ac:dyDescent="0.2">
      <c r="B355" s="146"/>
      <c r="C355" s="146"/>
      <c r="D355" s="146"/>
      <c r="E355" s="146"/>
      <c r="F355" s="146"/>
      <c r="G355" s="146"/>
      <c r="H355" s="146"/>
      <c r="I355" s="146"/>
      <c r="J355" s="146"/>
      <c r="K355" s="146"/>
      <c r="L355" s="146"/>
      <c r="R355" s="157"/>
      <c r="S355" s="157"/>
      <c r="T355" s="157"/>
      <c r="W355" s="157"/>
      <c r="X355" s="157"/>
      <c r="Y355" s="157"/>
      <c r="AB355" s="157"/>
      <c r="AC355" s="157"/>
      <c r="AD355" s="157"/>
      <c r="AG355" s="157"/>
      <c r="AH355" s="157"/>
      <c r="AI355" s="157"/>
    </row>
    <row r="356" spans="2:35" x14ac:dyDescent="0.2">
      <c r="B356" s="146"/>
      <c r="C356" s="146"/>
      <c r="D356" s="146"/>
      <c r="E356" s="146"/>
      <c r="F356" s="146"/>
      <c r="G356" s="146"/>
      <c r="H356" s="146"/>
      <c r="I356" s="146"/>
      <c r="J356" s="146"/>
      <c r="K356" s="146"/>
      <c r="L356" s="146"/>
      <c r="R356" s="157"/>
      <c r="S356" s="157"/>
      <c r="T356" s="157"/>
      <c r="W356" s="157"/>
      <c r="X356" s="157"/>
      <c r="Y356" s="157"/>
      <c r="AB356" s="157"/>
      <c r="AC356" s="157"/>
      <c r="AD356" s="157"/>
      <c r="AG356" s="157"/>
      <c r="AH356" s="157"/>
      <c r="AI356" s="157"/>
    </row>
    <row r="357" spans="2:35" x14ac:dyDescent="0.2">
      <c r="B357" s="146"/>
      <c r="C357" s="146"/>
      <c r="D357" s="146"/>
      <c r="E357" s="146"/>
      <c r="F357" s="146"/>
      <c r="G357" s="146"/>
      <c r="H357" s="146"/>
      <c r="I357" s="146"/>
      <c r="J357" s="146"/>
      <c r="K357" s="146"/>
      <c r="L357" s="146"/>
      <c r="R357" s="157"/>
      <c r="S357" s="157"/>
      <c r="T357" s="157"/>
      <c r="W357" s="157"/>
      <c r="X357" s="157"/>
      <c r="Y357" s="157"/>
      <c r="AB357" s="157"/>
      <c r="AC357" s="157"/>
      <c r="AD357" s="157"/>
      <c r="AG357" s="157"/>
      <c r="AH357" s="157"/>
      <c r="AI357" s="157"/>
    </row>
    <row r="358" spans="2:35" x14ac:dyDescent="0.2">
      <c r="B358" s="146"/>
      <c r="C358" s="146"/>
      <c r="D358" s="146"/>
      <c r="E358" s="146"/>
      <c r="F358" s="146"/>
      <c r="G358" s="146"/>
      <c r="H358" s="146"/>
      <c r="I358" s="146"/>
      <c r="J358" s="146"/>
      <c r="K358" s="146"/>
      <c r="L358" s="146"/>
      <c r="R358" s="157"/>
      <c r="S358" s="157"/>
      <c r="T358" s="157"/>
      <c r="W358" s="157"/>
      <c r="X358" s="157"/>
      <c r="Y358" s="157"/>
      <c r="AB358" s="157"/>
      <c r="AC358" s="157"/>
      <c r="AD358" s="157"/>
      <c r="AG358" s="157"/>
      <c r="AH358" s="157"/>
      <c r="AI358" s="157"/>
    </row>
    <row r="359" spans="2:35" x14ac:dyDescent="0.2">
      <c r="B359" s="146"/>
      <c r="C359" s="146"/>
      <c r="D359" s="146"/>
      <c r="E359" s="146"/>
      <c r="F359" s="146"/>
      <c r="G359" s="146"/>
      <c r="H359" s="146"/>
      <c r="I359" s="146"/>
      <c r="J359" s="146"/>
      <c r="K359" s="146"/>
      <c r="L359" s="146"/>
      <c r="R359" s="157"/>
      <c r="S359" s="157"/>
      <c r="T359" s="157"/>
      <c r="W359" s="157"/>
      <c r="X359" s="157"/>
      <c r="Y359" s="157"/>
      <c r="AB359" s="157"/>
      <c r="AC359" s="157"/>
      <c r="AD359" s="157"/>
      <c r="AG359" s="157"/>
      <c r="AH359" s="157"/>
      <c r="AI359" s="157"/>
    </row>
    <row r="360" spans="2:35" x14ac:dyDescent="0.2">
      <c r="B360" s="146"/>
      <c r="C360" s="146"/>
      <c r="D360" s="146"/>
      <c r="E360" s="146"/>
      <c r="F360" s="146"/>
      <c r="G360" s="146"/>
      <c r="H360" s="146"/>
      <c r="I360" s="146"/>
      <c r="J360" s="146"/>
      <c r="K360" s="146"/>
      <c r="L360" s="146"/>
      <c r="R360" s="157"/>
      <c r="S360" s="157"/>
      <c r="T360" s="157"/>
      <c r="W360" s="157"/>
      <c r="X360" s="157"/>
      <c r="Y360" s="157"/>
      <c r="AB360" s="157"/>
      <c r="AC360" s="157"/>
      <c r="AD360" s="157"/>
      <c r="AG360" s="157"/>
      <c r="AH360" s="157"/>
      <c r="AI360" s="157"/>
    </row>
    <row r="361" spans="2:35" x14ac:dyDescent="0.2">
      <c r="B361" s="146"/>
      <c r="C361" s="146"/>
      <c r="D361" s="146"/>
      <c r="E361" s="146"/>
      <c r="F361" s="146"/>
      <c r="G361" s="146"/>
      <c r="H361" s="146"/>
      <c r="I361" s="146"/>
      <c r="J361" s="146"/>
      <c r="K361" s="146"/>
      <c r="L361" s="146"/>
      <c r="R361" s="157"/>
      <c r="S361" s="157"/>
      <c r="T361" s="157"/>
      <c r="W361" s="157"/>
      <c r="X361" s="157"/>
      <c r="Y361" s="157"/>
      <c r="AB361" s="157"/>
      <c r="AC361" s="157"/>
      <c r="AD361" s="157"/>
      <c r="AG361" s="157"/>
      <c r="AH361" s="157"/>
      <c r="AI361" s="157"/>
    </row>
    <row r="362" spans="2:35" x14ac:dyDescent="0.2">
      <c r="B362" s="146"/>
      <c r="C362" s="146"/>
      <c r="D362" s="146"/>
      <c r="E362" s="146"/>
      <c r="F362" s="146"/>
      <c r="G362" s="146"/>
      <c r="H362" s="146"/>
      <c r="I362" s="146"/>
      <c r="J362" s="146"/>
      <c r="K362" s="146"/>
      <c r="L362" s="146"/>
      <c r="R362" s="157"/>
      <c r="S362" s="157"/>
      <c r="T362" s="157"/>
      <c r="W362" s="157"/>
      <c r="X362" s="157"/>
      <c r="Y362" s="157"/>
      <c r="AB362" s="157"/>
      <c r="AC362" s="157"/>
      <c r="AD362" s="157"/>
      <c r="AG362" s="157"/>
      <c r="AH362" s="157"/>
      <c r="AI362" s="157"/>
    </row>
    <row r="363" spans="2:35" x14ac:dyDescent="0.2">
      <c r="B363" s="146"/>
      <c r="C363" s="146"/>
      <c r="D363" s="146"/>
      <c r="E363" s="146"/>
      <c r="F363" s="146"/>
      <c r="G363" s="146"/>
      <c r="H363" s="146"/>
      <c r="I363" s="146"/>
      <c r="J363" s="146"/>
      <c r="K363" s="146"/>
      <c r="L363" s="146"/>
      <c r="R363" s="157"/>
      <c r="S363" s="157"/>
      <c r="T363" s="157"/>
      <c r="W363" s="157"/>
      <c r="X363" s="157"/>
      <c r="Y363" s="157"/>
      <c r="AB363" s="157"/>
      <c r="AC363" s="157"/>
      <c r="AD363" s="157"/>
      <c r="AG363" s="157"/>
      <c r="AH363" s="157"/>
      <c r="AI363" s="157"/>
    </row>
    <row r="364" spans="2:35" x14ac:dyDescent="0.2">
      <c r="B364" s="146"/>
      <c r="C364" s="146"/>
      <c r="D364" s="146"/>
      <c r="E364" s="146"/>
      <c r="F364" s="146"/>
      <c r="G364" s="146"/>
      <c r="H364" s="146"/>
      <c r="I364" s="146"/>
      <c r="J364" s="146"/>
      <c r="K364" s="146"/>
      <c r="L364" s="146"/>
      <c r="R364" s="157"/>
      <c r="S364" s="157"/>
      <c r="T364" s="157"/>
      <c r="W364" s="157"/>
      <c r="X364" s="157"/>
      <c r="Y364" s="157"/>
      <c r="AB364" s="157"/>
      <c r="AC364" s="157"/>
      <c r="AD364" s="157"/>
      <c r="AG364" s="157"/>
      <c r="AH364" s="157"/>
      <c r="AI364" s="157"/>
    </row>
    <row r="365" spans="2:35" x14ac:dyDescent="0.2">
      <c r="B365" s="146"/>
      <c r="C365" s="146"/>
      <c r="D365" s="146"/>
      <c r="E365" s="146"/>
      <c r="F365" s="146"/>
      <c r="G365" s="146"/>
      <c r="H365" s="146"/>
      <c r="I365" s="146"/>
      <c r="J365" s="146"/>
      <c r="K365" s="146"/>
      <c r="L365" s="146"/>
      <c r="R365" s="157"/>
      <c r="S365" s="157"/>
      <c r="T365" s="157"/>
      <c r="W365" s="157"/>
      <c r="X365" s="157"/>
      <c r="Y365" s="157"/>
      <c r="AB365" s="157"/>
      <c r="AC365" s="157"/>
      <c r="AD365" s="157"/>
      <c r="AG365" s="157"/>
      <c r="AH365" s="157"/>
      <c r="AI365" s="157"/>
    </row>
    <row r="366" spans="2:35" x14ac:dyDescent="0.2">
      <c r="B366" s="146"/>
      <c r="C366" s="146"/>
      <c r="D366" s="146"/>
      <c r="E366" s="146"/>
      <c r="F366" s="146"/>
      <c r="G366" s="146"/>
      <c r="H366" s="146"/>
      <c r="I366" s="146"/>
      <c r="J366" s="146"/>
      <c r="K366" s="146"/>
      <c r="L366" s="146"/>
      <c r="R366" s="157"/>
      <c r="S366" s="157"/>
      <c r="T366" s="157"/>
      <c r="W366" s="157"/>
      <c r="X366" s="157"/>
      <c r="Y366" s="157"/>
      <c r="AB366" s="157"/>
      <c r="AC366" s="157"/>
      <c r="AD366" s="157"/>
      <c r="AG366" s="157"/>
      <c r="AH366" s="157"/>
      <c r="AI366" s="157"/>
    </row>
    <row r="367" spans="2:35" x14ac:dyDescent="0.2">
      <c r="B367" s="146"/>
      <c r="C367" s="146"/>
      <c r="D367" s="146"/>
      <c r="E367" s="146"/>
      <c r="F367" s="146"/>
      <c r="G367" s="146"/>
      <c r="H367" s="146"/>
      <c r="I367" s="146"/>
      <c r="J367" s="146"/>
      <c r="K367" s="146"/>
      <c r="L367" s="146"/>
      <c r="R367" s="157"/>
      <c r="S367" s="157"/>
      <c r="T367" s="157"/>
      <c r="W367" s="157"/>
      <c r="X367" s="157"/>
      <c r="Y367" s="157"/>
      <c r="AB367" s="157"/>
      <c r="AC367" s="157"/>
      <c r="AD367" s="157"/>
      <c r="AG367" s="157"/>
      <c r="AH367" s="157"/>
      <c r="AI367" s="157"/>
    </row>
    <row r="368" spans="2:35" x14ac:dyDescent="0.2">
      <c r="B368" s="146"/>
      <c r="C368" s="146"/>
      <c r="D368" s="146"/>
      <c r="E368" s="146"/>
      <c r="F368" s="146"/>
      <c r="G368" s="146"/>
      <c r="H368" s="146"/>
      <c r="I368" s="146"/>
      <c r="J368" s="146"/>
      <c r="K368" s="146"/>
      <c r="L368" s="146"/>
      <c r="R368" s="157"/>
      <c r="S368" s="157"/>
      <c r="T368" s="157"/>
      <c r="W368" s="157"/>
      <c r="X368" s="157"/>
      <c r="Y368" s="157"/>
      <c r="AB368" s="157"/>
      <c r="AC368" s="157"/>
      <c r="AD368" s="157"/>
      <c r="AG368" s="157"/>
      <c r="AH368" s="157"/>
      <c r="AI368" s="157"/>
    </row>
    <row r="369" spans="2:35" x14ac:dyDescent="0.2">
      <c r="B369" s="146"/>
      <c r="C369" s="146"/>
      <c r="D369" s="146"/>
      <c r="E369" s="146"/>
      <c r="F369" s="146"/>
      <c r="G369" s="146"/>
      <c r="H369" s="146"/>
      <c r="I369" s="146"/>
      <c r="J369" s="146"/>
      <c r="K369" s="146"/>
      <c r="L369" s="146"/>
      <c r="R369" s="157"/>
      <c r="S369" s="157"/>
      <c r="T369" s="157"/>
      <c r="W369" s="157"/>
      <c r="X369" s="157"/>
      <c r="Y369" s="157"/>
      <c r="AB369" s="157"/>
      <c r="AC369" s="157"/>
      <c r="AD369" s="157"/>
      <c r="AG369" s="157"/>
      <c r="AH369" s="157"/>
      <c r="AI369" s="157"/>
    </row>
    <row r="370" spans="2:35" x14ac:dyDescent="0.2">
      <c r="B370" s="146"/>
      <c r="C370" s="146"/>
      <c r="D370" s="146"/>
      <c r="E370" s="146"/>
      <c r="F370" s="146"/>
      <c r="G370" s="146"/>
      <c r="H370" s="146"/>
      <c r="I370" s="146"/>
      <c r="J370" s="146"/>
      <c r="K370" s="146"/>
      <c r="L370" s="146"/>
      <c r="R370" s="157"/>
      <c r="S370" s="157"/>
      <c r="T370" s="157"/>
      <c r="W370" s="157"/>
      <c r="X370" s="157"/>
      <c r="Y370" s="157"/>
      <c r="AB370" s="157"/>
      <c r="AC370" s="157"/>
      <c r="AD370" s="157"/>
      <c r="AG370" s="157"/>
      <c r="AH370" s="157"/>
      <c r="AI370" s="157"/>
    </row>
    <row r="371" spans="2:35" x14ac:dyDescent="0.2">
      <c r="B371" s="146"/>
      <c r="C371" s="146"/>
      <c r="D371" s="146"/>
      <c r="E371" s="146"/>
      <c r="F371" s="146"/>
      <c r="G371" s="146"/>
      <c r="H371" s="146"/>
      <c r="I371" s="146"/>
      <c r="J371" s="146"/>
      <c r="K371" s="146"/>
      <c r="L371" s="146"/>
      <c r="R371" s="157"/>
      <c r="S371" s="157"/>
      <c r="T371" s="157"/>
      <c r="W371" s="157"/>
      <c r="X371" s="157"/>
      <c r="Y371" s="157"/>
      <c r="AB371" s="157"/>
      <c r="AC371" s="157"/>
      <c r="AD371" s="157"/>
      <c r="AG371" s="157"/>
      <c r="AH371" s="157"/>
      <c r="AI371" s="157"/>
    </row>
    <row r="372" spans="2:35" x14ac:dyDescent="0.2">
      <c r="B372" s="146"/>
      <c r="C372" s="146"/>
      <c r="D372" s="146"/>
      <c r="E372" s="146"/>
      <c r="F372" s="146"/>
      <c r="G372" s="146"/>
      <c r="H372" s="146"/>
      <c r="I372" s="146"/>
      <c r="J372" s="146"/>
      <c r="K372" s="146"/>
      <c r="L372" s="146"/>
      <c r="R372" s="157"/>
      <c r="S372" s="157"/>
      <c r="T372" s="157"/>
      <c r="W372" s="157"/>
      <c r="X372" s="157"/>
      <c r="Y372" s="157"/>
      <c r="AB372" s="157"/>
      <c r="AC372" s="157"/>
      <c r="AD372" s="157"/>
      <c r="AG372" s="157"/>
      <c r="AH372" s="157"/>
      <c r="AI372" s="157"/>
    </row>
    <row r="373" spans="2:35" x14ac:dyDescent="0.2">
      <c r="B373" s="146"/>
      <c r="C373" s="146"/>
      <c r="D373" s="146"/>
      <c r="E373" s="146"/>
      <c r="F373" s="146"/>
      <c r="G373" s="146"/>
      <c r="H373" s="146"/>
      <c r="I373" s="146"/>
      <c r="J373" s="146"/>
      <c r="K373" s="146"/>
      <c r="L373" s="146"/>
      <c r="R373" s="157"/>
      <c r="S373" s="157"/>
      <c r="T373" s="157"/>
      <c r="W373" s="157"/>
      <c r="X373" s="157"/>
      <c r="Y373" s="157"/>
      <c r="AB373" s="157"/>
      <c r="AC373" s="157"/>
      <c r="AD373" s="157"/>
      <c r="AG373" s="157"/>
      <c r="AH373" s="157"/>
      <c r="AI373" s="157"/>
    </row>
    <row r="374" spans="2:35" x14ac:dyDescent="0.2">
      <c r="B374" s="146"/>
      <c r="C374" s="146"/>
      <c r="D374" s="146"/>
      <c r="E374" s="146"/>
      <c r="F374" s="146"/>
      <c r="G374" s="146"/>
      <c r="H374" s="146"/>
      <c r="I374" s="146"/>
      <c r="J374" s="146"/>
      <c r="K374" s="146"/>
      <c r="L374" s="146"/>
      <c r="R374" s="157"/>
      <c r="S374" s="157"/>
      <c r="T374" s="157"/>
      <c r="W374" s="157"/>
      <c r="X374" s="157"/>
      <c r="Y374" s="157"/>
      <c r="AB374" s="157"/>
      <c r="AC374" s="157"/>
      <c r="AD374" s="157"/>
      <c r="AG374" s="157"/>
      <c r="AH374" s="157"/>
      <c r="AI374" s="157"/>
    </row>
    <row r="375" spans="2:35" x14ac:dyDescent="0.2">
      <c r="B375" s="146"/>
      <c r="C375" s="146"/>
      <c r="D375" s="146"/>
      <c r="E375" s="146"/>
      <c r="F375" s="146"/>
      <c r="G375" s="146"/>
      <c r="H375" s="146"/>
      <c r="I375" s="146"/>
      <c r="J375" s="146"/>
      <c r="K375" s="146"/>
      <c r="L375" s="146"/>
      <c r="R375" s="157"/>
      <c r="S375" s="157"/>
      <c r="T375" s="157"/>
      <c r="W375" s="157"/>
      <c r="X375" s="157"/>
      <c r="Y375" s="157"/>
      <c r="AB375" s="157"/>
      <c r="AC375" s="157"/>
      <c r="AD375" s="157"/>
      <c r="AG375" s="157"/>
      <c r="AH375" s="157"/>
      <c r="AI375" s="157"/>
    </row>
    <row r="376" spans="2:35" x14ac:dyDescent="0.2">
      <c r="B376" s="146"/>
      <c r="C376" s="146"/>
      <c r="D376" s="146"/>
      <c r="E376" s="146"/>
      <c r="F376" s="146"/>
      <c r="G376" s="146"/>
      <c r="H376" s="146"/>
      <c r="I376" s="146"/>
      <c r="J376" s="146"/>
      <c r="K376" s="146"/>
      <c r="L376" s="146"/>
      <c r="R376" s="157"/>
      <c r="S376" s="157"/>
      <c r="T376" s="157"/>
      <c r="W376" s="157"/>
      <c r="X376" s="157"/>
      <c r="Y376" s="157"/>
      <c r="AB376" s="157"/>
      <c r="AC376" s="157"/>
      <c r="AD376" s="157"/>
      <c r="AG376" s="157"/>
      <c r="AH376" s="157"/>
      <c r="AI376" s="157"/>
    </row>
    <row r="377" spans="2:35" x14ac:dyDescent="0.2">
      <c r="B377" s="146"/>
      <c r="C377" s="146"/>
      <c r="D377" s="146"/>
      <c r="E377" s="146"/>
      <c r="F377" s="146"/>
      <c r="G377" s="146"/>
      <c r="H377" s="146"/>
      <c r="I377" s="146"/>
      <c r="J377" s="146"/>
      <c r="K377" s="146"/>
      <c r="L377" s="146"/>
      <c r="R377" s="157"/>
      <c r="S377" s="157"/>
      <c r="T377" s="157"/>
      <c r="W377" s="157"/>
      <c r="X377" s="157"/>
      <c r="Y377" s="157"/>
      <c r="AB377" s="157"/>
      <c r="AC377" s="157"/>
      <c r="AD377" s="157"/>
      <c r="AG377" s="157"/>
      <c r="AH377" s="157"/>
      <c r="AI377" s="157"/>
    </row>
    <row r="378" spans="2:35" x14ac:dyDescent="0.2">
      <c r="B378" s="146"/>
      <c r="C378" s="146"/>
      <c r="D378" s="146"/>
      <c r="E378" s="146"/>
      <c r="F378" s="146"/>
      <c r="G378" s="146"/>
      <c r="H378" s="146"/>
      <c r="I378" s="146"/>
      <c r="J378" s="146"/>
      <c r="K378" s="146"/>
      <c r="L378" s="146"/>
      <c r="R378" s="157"/>
      <c r="S378" s="157"/>
      <c r="T378" s="157"/>
      <c r="W378" s="157"/>
      <c r="X378" s="157"/>
      <c r="Y378" s="157"/>
      <c r="AB378" s="157"/>
      <c r="AC378" s="157"/>
      <c r="AD378" s="157"/>
      <c r="AG378" s="157"/>
      <c r="AH378" s="157"/>
      <c r="AI378" s="157"/>
    </row>
    <row r="379" spans="2:35" x14ac:dyDescent="0.2">
      <c r="B379" s="146"/>
      <c r="C379" s="146"/>
      <c r="D379" s="146"/>
      <c r="E379" s="146"/>
      <c r="F379" s="146"/>
      <c r="G379" s="146"/>
      <c r="H379" s="146"/>
      <c r="I379" s="146"/>
      <c r="J379" s="146"/>
      <c r="K379" s="146"/>
      <c r="L379" s="146"/>
      <c r="R379" s="157"/>
      <c r="S379" s="157"/>
      <c r="T379" s="157"/>
      <c r="W379" s="157"/>
      <c r="X379" s="157"/>
      <c r="Y379" s="157"/>
      <c r="AB379" s="157"/>
      <c r="AC379" s="157"/>
      <c r="AD379" s="157"/>
      <c r="AG379" s="157"/>
      <c r="AH379" s="157"/>
      <c r="AI379" s="157"/>
    </row>
    <row r="380" spans="2:35" x14ac:dyDescent="0.2">
      <c r="B380" s="146"/>
      <c r="C380" s="146"/>
      <c r="D380" s="146"/>
      <c r="E380" s="146"/>
      <c r="F380" s="146"/>
      <c r="G380" s="146"/>
      <c r="H380" s="146"/>
      <c r="I380" s="146"/>
      <c r="J380" s="146"/>
      <c r="K380" s="146"/>
      <c r="L380" s="146"/>
      <c r="R380" s="157"/>
      <c r="S380" s="157"/>
      <c r="T380" s="157"/>
      <c r="W380" s="157"/>
      <c r="X380" s="157"/>
      <c r="Y380" s="157"/>
      <c r="AB380" s="157"/>
      <c r="AC380" s="157"/>
      <c r="AD380" s="157"/>
      <c r="AG380" s="157"/>
      <c r="AH380" s="157"/>
      <c r="AI380" s="157"/>
    </row>
    <row r="381" spans="2:35" x14ac:dyDescent="0.2">
      <c r="B381" s="146"/>
      <c r="C381" s="146"/>
      <c r="D381" s="146"/>
      <c r="E381" s="146"/>
      <c r="F381" s="146"/>
      <c r="G381" s="146"/>
      <c r="H381" s="146"/>
      <c r="I381" s="146"/>
      <c r="J381" s="146"/>
      <c r="K381" s="146"/>
      <c r="L381" s="146"/>
      <c r="R381" s="157"/>
      <c r="S381" s="157"/>
      <c r="T381" s="157"/>
      <c r="W381" s="157"/>
      <c r="X381" s="157"/>
      <c r="Y381" s="157"/>
      <c r="AB381" s="157"/>
      <c r="AC381" s="157"/>
      <c r="AD381" s="157"/>
      <c r="AG381" s="157"/>
      <c r="AH381" s="157"/>
      <c r="AI381" s="157"/>
    </row>
    <row r="382" spans="2:35" x14ac:dyDescent="0.2">
      <c r="B382" s="146"/>
      <c r="C382" s="146"/>
      <c r="D382" s="146"/>
      <c r="E382" s="146"/>
      <c r="F382" s="146"/>
      <c r="G382" s="146"/>
      <c r="H382" s="146"/>
      <c r="I382" s="146"/>
      <c r="J382" s="146"/>
      <c r="K382" s="146"/>
      <c r="L382" s="146"/>
      <c r="R382" s="157"/>
      <c r="S382" s="157"/>
      <c r="T382" s="157"/>
      <c r="W382" s="157"/>
      <c r="X382" s="157"/>
      <c r="Y382" s="157"/>
      <c r="AB382" s="157"/>
      <c r="AC382" s="157"/>
      <c r="AD382" s="157"/>
      <c r="AG382" s="157"/>
      <c r="AH382" s="157"/>
      <c r="AI382" s="157"/>
    </row>
    <row r="383" spans="2:35" x14ac:dyDescent="0.2">
      <c r="B383" s="146"/>
      <c r="C383" s="146"/>
      <c r="D383" s="146"/>
      <c r="E383" s="146"/>
      <c r="F383" s="146"/>
      <c r="G383" s="146"/>
      <c r="H383" s="146"/>
      <c r="I383" s="146"/>
      <c r="J383" s="146"/>
      <c r="K383" s="146"/>
      <c r="L383" s="146"/>
      <c r="R383" s="157"/>
      <c r="S383" s="157"/>
      <c r="T383" s="157"/>
      <c r="W383" s="157"/>
      <c r="X383" s="157"/>
      <c r="Y383" s="157"/>
      <c r="AB383" s="157"/>
      <c r="AC383" s="157"/>
      <c r="AD383" s="157"/>
      <c r="AG383" s="157"/>
      <c r="AH383" s="157"/>
      <c r="AI383" s="157"/>
    </row>
    <row r="384" spans="2:35" x14ac:dyDescent="0.2">
      <c r="B384" s="146"/>
      <c r="C384" s="146"/>
      <c r="D384" s="146"/>
      <c r="E384" s="146"/>
      <c r="F384" s="146"/>
      <c r="G384" s="146"/>
      <c r="H384" s="146"/>
      <c r="I384" s="146"/>
      <c r="J384" s="146"/>
      <c r="K384" s="146"/>
      <c r="L384" s="146"/>
      <c r="R384" s="157"/>
      <c r="S384" s="157"/>
      <c r="T384" s="157"/>
      <c r="W384" s="157"/>
      <c r="X384" s="157"/>
      <c r="Y384" s="157"/>
      <c r="AB384" s="157"/>
      <c r="AC384" s="157"/>
      <c r="AD384" s="157"/>
      <c r="AG384" s="157"/>
      <c r="AH384" s="157"/>
      <c r="AI384" s="157"/>
    </row>
    <row r="385" spans="2:35" x14ac:dyDescent="0.2">
      <c r="B385" s="146"/>
      <c r="C385" s="146"/>
      <c r="D385" s="146"/>
      <c r="E385" s="146"/>
      <c r="F385" s="146"/>
      <c r="G385" s="146"/>
      <c r="H385" s="146"/>
      <c r="I385" s="146"/>
      <c r="J385" s="146"/>
      <c r="K385" s="146"/>
      <c r="L385" s="146"/>
      <c r="R385" s="157"/>
      <c r="S385" s="157"/>
      <c r="T385" s="157"/>
      <c r="W385" s="157"/>
      <c r="X385" s="157"/>
      <c r="Y385" s="157"/>
      <c r="AB385" s="157"/>
      <c r="AC385" s="157"/>
      <c r="AD385" s="157"/>
      <c r="AG385" s="157"/>
      <c r="AH385" s="157"/>
      <c r="AI385" s="157"/>
    </row>
    <row r="386" spans="2:35" x14ac:dyDescent="0.2">
      <c r="B386" s="146"/>
      <c r="C386" s="146"/>
      <c r="D386" s="146"/>
      <c r="E386" s="146"/>
      <c r="F386" s="146"/>
      <c r="G386" s="146"/>
      <c r="H386" s="146"/>
      <c r="I386" s="146"/>
      <c r="J386" s="146"/>
      <c r="K386" s="146"/>
      <c r="L386" s="146"/>
      <c r="R386" s="157"/>
      <c r="S386" s="157"/>
      <c r="T386" s="157"/>
      <c r="W386" s="157"/>
      <c r="X386" s="157"/>
      <c r="Y386" s="157"/>
      <c r="AB386" s="157"/>
      <c r="AC386" s="157"/>
      <c r="AD386" s="157"/>
      <c r="AG386" s="157"/>
      <c r="AH386" s="157"/>
      <c r="AI386" s="157"/>
    </row>
    <row r="387" spans="2:35" x14ac:dyDescent="0.2">
      <c r="B387" s="146"/>
      <c r="C387" s="146"/>
      <c r="D387" s="146"/>
      <c r="E387" s="146"/>
      <c r="F387" s="146"/>
      <c r="G387" s="146"/>
      <c r="H387" s="146"/>
      <c r="I387" s="146"/>
      <c r="J387" s="146"/>
      <c r="K387" s="146"/>
      <c r="L387" s="146"/>
      <c r="R387" s="157"/>
      <c r="S387" s="157"/>
      <c r="T387" s="157"/>
      <c r="W387" s="157"/>
      <c r="X387" s="157"/>
      <c r="Y387" s="157"/>
      <c r="AB387" s="157"/>
      <c r="AC387" s="157"/>
      <c r="AD387" s="157"/>
      <c r="AG387" s="157"/>
      <c r="AH387" s="157"/>
      <c r="AI387" s="157"/>
    </row>
    <row r="388" spans="2:35" x14ac:dyDescent="0.2">
      <c r="B388" s="146"/>
      <c r="C388" s="146"/>
      <c r="D388" s="146"/>
      <c r="E388" s="146"/>
      <c r="F388" s="146"/>
      <c r="G388" s="146"/>
      <c r="H388" s="146"/>
      <c r="I388" s="146"/>
      <c r="J388" s="146"/>
      <c r="K388" s="146"/>
      <c r="L388" s="146"/>
      <c r="R388" s="157"/>
      <c r="S388" s="157"/>
      <c r="T388" s="157"/>
      <c r="W388" s="157"/>
      <c r="X388" s="157"/>
      <c r="Y388" s="157"/>
      <c r="AB388" s="157"/>
      <c r="AC388" s="157"/>
      <c r="AD388" s="157"/>
      <c r="AG388" s="157"/>
      <c r="AH388" s="157"/>
      <c r="AI388" s="157"/>
    </row>
    <row r="389" spans="2:35" x14ac:dyDescent="0.2">
      <c r="B389" s="146"/>
      <c r="C389" s="146"/>
      <c r="D389" s="146"/>
      <c r="E389" s="146"/>
      <c r="F389" s="146"/>
      <c r="G389" s="146"/>
      <c r="H389" s="146"/>
      <c r="I389" s="146"/>
      <c r="J389" s="146"/>
      <c r="K389" s="146"/>
      <c r="L389" s="146"/>
      <c r="R389" s="157"/>
      <c r="S389" s="157"/>
      <c r="T389" s="157"/>
      <c r="W389" s="157"/>
      <c r="X389" s="157"/>
      <c r="Y389" s="157"/>
      <c r="AB389" s="157"/>
      <c r="AC389" s="157"/>
      <c r="AD389" s="157"/>
      <c r="AG389" s="157"/>
      <c r="AH389" s="157"/>
      <c r="AI389" s="157"/>
    </row>
    <row r="390" spans="2:35" x14ac:dyDescent="0.2">
      <c r="B390" s="146"/>
      <c r="C390" s="146"/>
      <c r="D390" s="146"/>
      <c r="E390" s="146"/>
      <c r="F390" s="146"/>
      <c r="G390" s="146"/>
      <c r="H390" s="146"/>
      <c r="I390" s="146"/>
      <c r="J390" s="146"/>
      <c r="K390" s="146"/>
      <c r="L390" s="146"/>
      <c r="R390" s="157"/>
      <c r="S390" s="157"/>
      <c r="T390" s="157"/>
      <c r="W390" s="157"/>
      <c r="X390" s="157"/>
      <c r="Y390" s="157"/>
      <c r="AB390" s="157"/>
      <c r="AC390" s="157"/>
      <c r="AD390" s="157"/>
      <c r="AG390" s="157"/>
      <c r="AH390" s="157"/>
      <c r="AI390" s="157"/>
    </row>
    <row r="391" spans="2:35" x14ac:dyDescent="0.2">
      <c r="B391" s="146"/>
      <c r="C391" s="146"/>
      <c r="D391" s="146"/>
      <c r="E391" s="146"/>
      <c r="F391" s="146"/>
      <c r="G391" s="146"/>
      <c r="H391" s="146"/>
      <c r="I391" s="146"/>
      <c r="J391" s="146"/>
      <c r="K391" s="146"/>
      <c r="L391" s="146"/>
      <c r="R391" s="157"/>
      <c r="S391" s="157"/>
      <c r="T391" s="157"/>
      <c r="W391" s="157"/>
      <c r="X391" s="157"/>
      <c r="Y391" s="157"/>
      <c r="AB391" s="157"/>
      <c r="AC391" s="157"/>
      <c r="AD391" s="157"/>
      <c r="AG391" s="157"/>
      <c r="AH391" s="157"/>
      <c r="AI391" s="157"/>
    </row>
    <row r="392" spans="2:35" x14ac:dyDescent="0.2">
      <c r="B392" s="146"/>
      <c r="C392" s="146"/>
      <c r="D392" s="146"/>
      <c r="E392" s="146"/>
      <c r="F392" s="146"/>
      <c r="G392" s="146"/>
      <c r="H392" s="146"/>
      <c r="I392" s="146"/>
      <c r="J392" s="146"/>
      <c r="K392" s="146"/>
      <c r="L392" s="146"/>
      <c r="R392" s="157"/>
      <c r="S392" s="157"/>
      <c r="T392" s="157"/>
      <c r="W392" s="157"/>
      <c r="X392" s="157"/>
      <c r="Y392" s="157"/>
      <c r="AB392" s="157"/>
      <c r="AC392" s="157"/>
      <c r="AD392" s="157"/>
      <c r="AG392" s="157"/>
      <c r="AH392" s="157"/>
      <c r="AI392" s="157"/>
    </row>
    <row r="393" spans="2:35" x14ac:dyDescent="0.2">
      <c r="B393" s="146"/>
      <c r="C393" s="146"/>
      <c r="D393" s="146"/>
      <c r="E393" s="146"/>
      <c r="F393" s="146"/>
      <c r="G393" s="146"/>
      <c r="H393" s="146"/>
      <c r="I393" s="146"/>
      <c r="J393" s="146"/>
      <c r="K393" s="146"/>
      <c r="L393" s="146"/>
      <c r="R393" s="157"/>
      <c r="S393" s="157"/>
      <c r="T393" s="157"/>
      <c r="W393" s="157"/>
      <c r="X393" s="157"/>
      <c r="Y393" s="157"/>
      <c r="AB393" s="157"/>
      <c r="AC393" s="157"/>
      <c r="AD393" s="157"/>
      <c r="AG393" s="157"/>
      <c r="AH393" s="157"/>
      <c r="AI393" s="157"/>
    </row>
    <row r="394" spans="2:35" x14ac:dyDescent="0.2">
      <c r="B394" s="146"/>
      <c r="C394" s="146"/>
      <c r="D394" s="146"/>
      <c r="E394" s="146"/>
      <c r="F394" s="146"/>
      <c r="G394" s="146"/>
      <c r="H394" s="146"/>
      <c r="I394" s="146"/>
      <c r="J394" s="146"/>
      <c r="K394" s="146"/>
      <c r="L394" s="146"/>
      <c r="R394" s="157"/>
      <c r="S394" s="157"/>
      <c r="T394" s="157"/>
      <c r="W394" s="157"/>
      <c r="X394" s="157"/>
      <c r="Y394" s="157"/>
      <c r="AB394" s="157"/>
      <c r="AC394" s="157"/>
      <c r="AD394" s="157"/>
      <c r="AG394" s="157"/>
      <c r="AH394" s="157"/>
      <c r="AI394" s="157"/>
    </row>
    <row r="395" spans="2:35" x14ac:dyDescent="0.2">
      <c r="B395" s="146"/>
      <c r="C395" s="146"/>
      <c r="D395" s="146"/>
      <c r="E395" s="146"/>
      <c r="F395" s="146"/>
      <c r="G395" s="146"/>
      <c r="H395" s="146"/>
      <c r="I395" s="146"/>
      <c r="J395" s="146"/>
      <c r="K395" s="146"/>
      <c r="L395" s="146"/>
      <c r="R395" s="157"/>
      <c r="S395" s="157"/>
      <c r="T395" s="157"/>
      <c r="W395" s="157"/>
      <c r="X395" s="157"/>
      <c r="Y395" s="157"/>
      <c r="AB395" s="157"/>
      <c r="AC395" s="157"/>
      <c r="AD395" s="157"/>
      <c r="AG395" s="157"/>
      <c r="AH395" s="157"/>
      <c r="AI395" s="157"/>
    </row>
    <row r="396" spans="2:35" x14ac:dyDescent="0.2">
      <c r="B396" s="146"/>
      <c r="C396" s="146"/>
      <c r="D396" s="146"/>
      <c r="E396" s="146"/>
      <c r="F396" s="146"/>
      <c r="G396" s="146"/>
      <c r="H396" s="146"/>
      <c r="I396" s="146"/>
      <c r="J396" s="146"/>
      <c r="K396" s="146"/>
      <c r="L396" s="146"/>
      <c r="R396" s="157"/>
      <c r="S396" s="157"/>
      <c r="T396" s="157"/>
      <c r="W396" s="157"/>
      <c r="X396" s="157"/>
      <c r="Y396" s="157"/>
      <c r="AB396" s="157"/>
      <c r="AC396" s="157"/>
      <c r="AD396" s="157"/>
      <c r="AG396" s="157"/>
      <c r="AH396" s="157"/>
      <c r="AI396" s="157"/>
    </row>
    <row r="397" spans="2:35" x14ac:dyDescent="0.2">
      <c r="B397" s="146"/>
      <c r="C397" s="146"/>
      <c r="D397" s="146"/>
      <c r="E397" s="146"/>
      <c r="F397" s="146"/>
      <c r="G397" s="146"/>
      <c r="H397" s="146"/>
      <c r="I397" s="146"/>
      <c r="J397" s="146"/>
      <c r="K397" s="146"/>
      <c r="L397" s="146"/>
      <c r="R397" s="157"/>
      <c r="S397" s="157"/>
      <c r="T397" s="157"/>
      <c r="W397" s="157"/>
      <c r="X397" s="157"/>
      <c r="Y397" s="157"/>
      <c r="AB397" s="157"/>
      <c r="AC397" s="157"/>
      <c r="AD397" s="157"/>
      <c r="AG397" s="157"/>
      <c r="AH397" s="157"/>
      <c r="AI397" s="157"/>
    </row>
    <row r="398" spans="2:35" x14ac:dyDescent="0.2">
      <c r="B398" s="146"/>
      <c r="C398" s="146"/>
      <c r="D398" s="146"/>
      <c r="E398" s="146"/>
      <c r="F398" s="146"/>
      <c r="G398" s="146"/>
      <c r="H398" s="146"/>
      <c r="I398" s="146"/>
      <c r="J398" s="146"/>
      <c r="K398" s="146"/>
      <c r="L398" s="146"/>
      <c r="R398" s="157"/>
      <c r="S398" s="157"/>
      <c r="T398" s="157"/>
      <c r="W398" s="157"/>
      <c r="X398" s="157"/>
      <c r="Y398" s="157"/>
      <c r="AB398" s="157"/>
      <c r="AC398" s="157"/>
      <c r="AD398" s="157"/>
      <c r="AG398" s="157"/>
      <c r="AH398" s="157"/>
      <c r="AI398" s="157"/>
    </row>
    <row r="399" spans="2:35" x14ac:dyDescent="0.2">
      <c r="B399" s="146"/>
      <c r="C399" s="146"/>
      <c r="D399" s="146"/>
      <c r="E399" s="146"/>
      <c r="F399" s="146"/>
      <c r="G399" s="146"/>
      <c r="H399" s="146"/>
      <c r="I399" s="146"/>
      <c r="J399" s="146"/>
      <c r="K399" s="146"/>
      <c r="L399" s="146"/>
      <c r="R399" s="157"/>
      <c r="S399" s="157"/>
      <c r="T399" s="157"/>
      <c r="W399" s="157"/>
      <c r="X399" s="157"/>
      <c r="Y399" s="157"/>
      <c r="AB399" s="157"/>
      <c r="AC399" s="157"/>
      <c r="AD399" s="157"/>
      <c r="AG399" s="157"/>
      <c r="AH399" s="157"/>
      <c r="AI399" s="157"/>
    </row>
    <row r="400" spans="2:35" x14ac:dyDescent="0.2">
      <c r="B400" s="146"/>
      <c r="C400" s="146"/>
      <c r="D400" s="146"/>
      <c r="E400" s="146"/>
      <c r="F400" s="146"/>
      <c r="G400" s="146"/>
      <c r="H400" s="146"/>
      <c r="I400" s="146"/>
      <c r="J400" s="146"/>
      <c r="K400" s="146"/>
      <c r="L400" s="146"/>
      <c r="R400" s="157"/>
      <c r="S400" s="157"/>
      <c r="T400" s="157"/>
      <c r="W400" s="157"/>
      <c r="X400" s="157"/>
      <c r="Y400" s="157"/>
      <c r="AB400" s="157"/>
      <c r="AC400" s="157"/>
      <c r="AD400" s="157"/>
      <c r="AG400" s="157"/>
      <c r="AH400" s="157"/>
      <c r="AI400" s="157"/>
    </row>
    <row r="401" spans="2:35" x14ac:dyDescent="0.2">
      <c r="B401" s="146"/>
      <c r="C401" s="146"/>
      <c r="D401" s="146"/>
      <c r="E401" s="146"/>
      <c r="F401" s="146"/>
      <c r="G401" s="146"/>
      <c r="H401" s="146"/>
      <c r="I401" s="146"/>
      <c r="J401" s="146"/>
      <c r="K401" s="146"/>
      <c r="L401" s="146"/>
      <c r="R401" s="157"/>
      <c r="S401" s="157"/>
      <c r="T401" s="157"/>
      <c r="W401" s="157"/>
      <c r="X401" s="157"/>
      <c r="Y401" s="157"/>
      <c r="AB401" s="157"/>
      <c r="AC401" s="157"/>
      <c r="AD401" s="157"/>
      <c r="AG401" s="157"/>
      <c r="AH401" s="157"/>
      <c r="AI401" s="157"/>
    </row>
    <row r="402" spans="2:35" x14ac:dyDescent="0.2">
      <c r="B402" s="146"/>
      <c r="C402" s="146"/>
      <c r="D402" s="146"/>
      <c r="E402" s="146"/>
      <c r="F402" s="146"/>
      <c r="G402" s="146"/>
      <c r="H402" s="146"/>
      <c r="I402" s="146"/>
      <c r="J402" s="146"/>
      <c r="K402" s="146"/>
      <c r="L402" s="146"/>
      <c r="R402" s="157"/>
      <c r="S402" s="157"/>
      <c r="T402" s="157"/>
      <c r="W402" s="157"/>
      <c r="X402" s="157"/>
      <c r="Y402" s="157"/>
      <c r="AB402" s="157"/>
      <c r="AC402" s="157"/>
      <c r="AD402" s="157"/>
      <c r="AG402" s="157"/>
      <c r="AH402" s="157"/>
      <c r="AI402" s="157"/>
    </row>
    <row r="403" spans="2:35" x14ac:dyDescent="0.2">
      <c r="B403" s="146"/>
      <c r="C403" s="146"/>
      <c r="D403" s="146"/>
      <c r="E403" s="146"/>
      <c r="F403" s="146"/>
      <c r="G403" s="146"/>
      <c r="H403" s="146"/>
      <c r="I403" s="146"/>
      <c r="J403" s="146"/>
      <c r="K403" s="146"/>
      <c r="L403" s="146"/>
      <c r="R403" s="157"/>
      <c r="S403" s="157"/>
      <c r="T403" s="157"/>
      <c r="W403" s="157"/>
      <c r="X403" s="157"/>
      <c r="Y403" s="157"/>
      <c r="AB403" s="157"/>
      <c r="AC403" s="157"/>
      <c r="AD403" s="157"/>
      <c r="AG403" s="157"/>
      <c r="AH403" s="157"/>
      <c r="AI403" s="157"/>
    </row>
    <row r="404" spans="2:35" x14ac:dyDescent="0.2">
      <c r="B404" s="146"/>
      <c r="C404" s="146"/>
      <c r="D404" s="146"/>
      <c r="E404" s="146"/>
      <c r="F404" s="146"/>
      <c r="G404" s="146"/>
      <c r="H404" s="146"/>
      <c r="I404" s="146"/>
      <c r="J404" s="146"/>
      <c r="K404" s="146"/>
      <c r="L404" s="146"/>
      <c r="R404" s="157"/>
      <c r="S404" s="157"/>
      <c r="T404" s="157"/>
      <c r="W404" s="157"/>
      <c r="X404" s="157"/>
      <c r="Y404" s="157"/>
      <c r="AB404" s="157"/>
      <c r="AC404" s="157"/>
      <c r="AD404" s="157"/>
      <c r="AG404" s="157"/>
      <c r="AH404" s="157"/>
      <c r="AI404" s="157"/>
    </row>
    <row r="405" spans="2:35" x14ac:dyDescent="0.2">
      <c r="B405" s="146"/>
      <c r="C405" s="146"/>
      <c r="D405" s="146"/>
      <c r="E405" s="146"/>
      <c r="F405" s="146"/>
      <c r="G405" s="146"/>
      <c r="H405" s="146"/>
      <c r="I405" s="146"/>
      <c r="J405" s="146"/>
      <c r="K405" s="146"/>
      <c r="L405" s="146"/>
      <c r="R405" s="157"/>
      <c r="S405" s="157"/>
      <c r="T405" s="157"/>
      <c r="W405" s="157"/>
      <c r="X405" s="157"/>
      <c r="Y405" s="157"/>
      <c r="AB405" s="157"/>
      <c r="AC405" s="157"/>
      <c r="AD405" s="157"/>
      <c r="AG405" s="157"/>
      <c r="AH405" s="157"/>
      <c r="AI405" s="157"/>
    </row>
    <row r="406" spans="2:35" x14ac:dyDescent="0.2">
      <c r="B406" s="146"/>
      <c r="C406" s="146"/>
      <c r="D406" s="146"/>
      <c r="E406" s="146"/>
      <c r="F406" s="146"/>
      <c r="G406" s="146"/>
      <c r="H406" s="146"/>
      <c r="I406" s="146"/>
      <c r="J406" s="146"/>
      <c r="K406" s="146"/>
      <c r="L406" s="146"/>
      <c r="R406" s="157"/>
      <c r="S406" s="157"/>
      <c r="T406" s="157"/>
      <c r="W406" s="157"/>
      <c r="X406" s="157"/>
      <c r="Y406" s="157"/>
      <c r="AB406" s="157"/>
      <c r="AC406" s="157"/>
      <c r="AD406" s="157"/>
      <c r="AG406" s="157"/>
      <c r="AH406" s="157"/>
      <c r="AI406" s="157"/>
    </row>
    <row r="407" spans="2:35" x14ac:dyDescent="0.2">
      <c r="B407" s="146"/>
      <c r="C407" s="146"/>
      <c r="D407" s="146"/>
      <c r="E407" s="146"/>
      <c r="F407" s="146"/>
      <c r="G407" s="146"/>
      <c r="H407" s="146"/>
      <c r="I407" s="146"/>
      <c r="J407" s="146"/>
      <c r="K407" s="146"/>
      <c r="L407" s="146"/>
      <c r="R407" s="157"/>
      <c r="S407" s="157"/>
      <c r="T407" s="157"/>
      <c r="W407" s="157"/>
      <c r="X407" s="157"/>
      <c r="Y407" s="157"/>
      <c r="AB407" s="157"/>
      <c r="AC407" s="157"/>
      <c r="AD407" s="157"/>
      <c r="AG407" s="157"/>
      <c r="AH407" s="157"/>
      <c r="AI407" s="157"/>
    </row>
    <row r="408" spans="2:35" x14ac:dyDescent="0.2">
      <c r="B408" s="146"/>
      <c r="C408" s="146"/>
      <c r="D408" s="146"/>
      <c r="E408" s="146"/>
      <c r="F408" s="146"/>
      <c r="G408" s="146"/>
      <c r="H408" s="146"/>
      <c r="I408" s="146"/>
      <c r="J408" s="146"/>
      <c r="K408" s="146"/>
      <c r="L408" s="146"/>
      <c r="R408" s="157"/>
      <c r="S408" s="157"/>
      <c r="T408" s="157"/>
      <c r="W408" s="157"/>
      <c r="X408" s="157"/>
      <c r="Y408" s="157"/>
      <c r="AB408" s="157"/>
      <c r="AC408" s="157"/>
      <c r="AD408" s="157"/>
      <c r="AG408" s="157"/>
      <c r="AH408" s="157"/>
      <c r="AI408" s="157"/>
    </row>
    <row r="409" spans="2:35" x14ac:dyDescent="0.2">
      <c r="B409" s="146"/>
      <c r="C409" s="146"/>
      <c r="D409" s="146"/>
      <c r="E409" s="146"/>
      <c r="F409" s="146"/>
      <c r="G409" s="146"/>
      <c r="H409" s="146"/>
      <c r="I409" s="146"/>
      <c r="J409" s="146"/>
      <c r="K409" s="146"/>
      <c r="L409" s="146"/>
      <c r="R409" s="157"/>
      <c r="S409" s="157"/>
      <c r="T409" s="157"/>
      <c r="W409" s="157"/>
      <c r="X409" s="157"/>
      <c r="Y409" s="157"/>
      <c r="AB409" s="157"/>
      <c r="AC409" s="157"/>
      <c r="AD409" s="157"/>
      <c r="AG409" s="157"/>
      <c r="AH409" s="157"/>
      <c r="AI409" s="157"/>
    </row>
    <row r="410" spans="2:35" x14ac:dyDescent="0.2">
      <c r="B410" s="146"/>
      <c r="C410" s="146"/>
      <c r="D410" s="146"/>
      <c r="E410" s="146"/>
      <c r="F410" s="146"/>
      <c r="G410" s="146"/>
      <c r="H410" s="146"/>
      <c r="I410" s="146"/>
      <c r="J410" s="146"/>
      <c r="K410" s="146"/>
      <c r="L410" s="146"/>
      <c r="R410" s="157"/>
      <c r="S410" s="157"/>
      <c r="T410" s="157"/>
      <c r="W410" s="157"/>
      <c r="X410" s="157"/>
      <c r="Y410" s="157"/>
      <c r="AB410" s="157"/>
      <c r="AC410" s="157"/>
      <c r="AD410" s="157"/>
      <c r="AG410" s="157"/>
      <c r="AH410" s="157"/>
      <c r="AI410" s="157"/>
    </row>
    <row r="411" spans="2:35" x14ac:dyDescent="0.2">
      <c r="B411" s="146"/>
      <c r="C411" s="146"/>
      <c r="D411" s="146"/>
      <c r="E411" s="146"/>
      <c r="F411" s="146"/>
      <c r="G411" s="146"/>
      <c r="H411" s="146"/>
      <c r="I411" s="146"/>
      <c r="J411" s="146"/>
      <c r="K411" s="146"/>
      <c r="L411" s="146"/>
      <c r="R411" s="157"/>
      <c r="S411" s="157"/>
      <c r="T411" s="157"/>
      <c r="W411" s="157"/>
      <c r="X411" s="157"/>
      <c r="Y411" s="157"/>
      <c r="AB411" s="157"/>
      <c r="AC411" s="157"/>
      <c r="AD411" s="157"/>
      <c r="AG411" s="157"/>
      <c r="AH411" s="157"/>
      <c r="AI411" s="157"/>
    </row>
    <row r="412" spans="2:35" x14ac:dyDescent="0.2">
      <c r="B412" s="146"/>
      <c r="C412" s="146"/>
      <c r="D412" s="146"/>
      <c r="E412" s="146"/>
      <c r="F412" s="146"/>
      <c r="G412" s="146"/>
      <c r="H412" s="146"/>
      <c r="I412" s="146"/>
      <c r="J412" s="146"/>
      <c r="K412" s="146"/>
      <c r="L412" s="146"/>
      <c r="R412" s="157"/>
      <c r="S412" s="157"/>
      <c r="T412" s="157"/>
      <c r="W412" s="157"/>
      <c r="X412" s="157"/>
      <c r="Y412" s="157"/>
      <c r="AB412" s="157"/>
      <c r="AC412" s="157"/>
      <c r="AD412" s="157"/>
      <c r="AG412" s="157"/>
      <c r="AH412" s="157"/>
      <c r="AI412" s="157"/>
    </row>
    <row r="413" spans="2:35" x14ac:dyDescent="0.2">
      <c r="B413" s="146"/>
      <c r="C413" s="146"/>
      <c r="D413" s="146"/>
      <c r="E413" s="146"/>
      <c r="F413" s="146"/>
      <c r="G413" s="146"/>
      <c r="H413" s="146"/>
      <c r="I413" s="146"/>
      <c r="J413" s="146"/>
      <c r="K413" s="146"/>
      <c r="L413" s="146"/>
      <c r="R413" s="157"/>
      <c r="S413" s="157"/>
      <c r="T413" s="157"/>
      <c r="W413" s="157"/>
      <c r="X413" s="157"/>
      <c r="Y413" s="157"/>
      <c r="AB413" s="157"/>
      <c r="AC413" s="157"/>
      <c r="AD413" s="157"/>
      <c r="AG413" s="157"/>
      <c r="AH413" s="157"/>
      <c r="AI413" s="157"/>
    </row>
    <row r="414" spans="2:35" x14ac:dyDescent="0.2">
      <c r="B414" s="146"/>
      <c r="C414" s="146"/>
      <c r="D414" s="146"/>
      <c r="E414" s="146"/>
      <c r="F414" s="146"/>
      <c r="G414" s="146"/>
      <c r="H414" s="146"/>
      <c r="I414" s="146"/>
      <c r="J414" s="146"/>
      <c r="K414" s="146"/>
      <c r="L414" s="146"/>
      <c r="R414" s="157"/>
      <c r="S414" s="157"/>
      <c r="T414" s="157"/>
      <c r="W414" s="157"/>
      <c r="X414" s="157"/>
      <c r="Y414" s="157"/>
      <c r="AB414" s="157"/>
      <c r="AC414" s="157"/>
      <c r="AD414" s="157"/>
      <c r="AG414" s="157"/>
      <c r="AH414" s="157"/>
      <c r="AI414" s="157"/>
    </row>
    <row r="415" spans="2:35" x14ac:dyDescent="0.2">
      <c r="B415" s="146"/>
      <c r="C415" s="146"/>
      <c r="D415" s="146"/>
      <c r="E415" s="146"/>
      <c r="F415" s="146"/>
      <c r="G415" s="146"/>
      <c r="H415" s="146"/>
      <c r="I415" s="146"/>
      <c r="J415" s="146"/>
      <c r="K415" s="146"/>
      <c r="L415" s="146"/>
      <c r="R415" s="157"/>
      <c r="S415" s="157"/>
      <c r="T415" s="157"/>
      <c r="W415" s="157"/>
      <c r="X415" s="157"/>
      <c r="Y415" s="157"/>
      <c r="AB415" s="157"/>
      <c r="AC415" s="157"/>
      <c r="AD415" s="157"/>
      <c r="AG415" s="157"/>
      <c r="AH415" s="157"/>
      <c r="AI415" s="157"/>
    </row>
    <row r="416" spans="2:35" x14ac:dyDescent="0.2">
      <c r="B416" s="146"/>
      <c r="C416" s="146"/>
      <c r="D416" s="146"/>
      <c r="E416" s="146"/>
      <c r="F416" s="146"/>
      <c r="G416" s="146"/>
      <c r="H416" s="146"/>
      <c r="I416" s="146"/>
      <c r="J416" s="146"/>
      <c r="K416" s="146"/>
      <c r="L416" s="146"/>
      <c r="R416" s="157"/>
      <c r="S416" s="157"/>
      <c r="T416" s="157"/>
      <c r="W416" s="157"/>
      <c r="X416" s="157"/>
      <c r="Y416" s="157"/>
      <c r="AB416" s="157"/>
      <c r="AC416" s="157"/>
      <c r="AD416" s="157"/>
      <c r="AG416" s="157"/>
      <c r="AH416" s="157"/>
      <c r="AI416" s="157"/>
    </row>
    <row r="417" spans="2:35" x14ac:dyDescent="0.2">
      <c r="B417" s="146"/>
      <c r="C417" s="146"/>
      <c r="D417" s="146"/>
      <c r="E417" s="146"/>
      <c r="F417" s="146"/>
      <c r="G417" s="146"/>
      <c r="H417" s="146"/>
      <c r="I417" s="146"/>
      <c r="J417" s="146"/>
      <c r="K417" s="146"/>
      <c r="L417" s="146"/>
      <c r="R417" s="157"/>
      <c r="S417" s="157"/>
      <c r="T417" s="157"/>
      <c r="W417" s="157"/>
      <c r="X417" s="157"/>
      <c r="Y417" s="157"/>
      <c r="AB417" s="157"/>
      <c r="AC417" s="157"/>
      <c r="AD417" s="157"/>
      <c r="AG417" s="157"/>
      <c r="AH417" s="157"/>
      <c r="AI417" s="157"/>
    </row>
    <row r="418" spans="2:35" x14ac:dyDescent="0.2">
      <c r="B418" s="146"/>
      <c r="C418" s="146"/>
      <c r="D418" s="146"/>
      <c r="E418" s="146"/>
      <c r="F418" s="146"/>
      <c r="G418" s="146"/>
      <c r="H418" s="146"/>
      <c r="I418" s="146"/>
      <c r="J418" s="146"/>
      <c r="K418" s="146"/>
      <c r="L418" s="146"/>
      <c r="R418" s="157"/>
      <c r="S418" s="157"/>
      <c r="T418" s="157"/>
      <c r="W418" s="157"/>
      <c r="X418" s="157"/>
      <c r="Y418" s="157"/>
      <c r="AB418" s="157"/>
      <c r="AC418" s="157"/>
      <c r="AD418" s="157"/>
      <c r="AG418" s="157"/>
      <c r="AH418" s="157"/>
      <c r="AI418" s="157"/>
    </row>
    <row r="419" spans="2:35" x14ac:dyDescent="0.2">
      <c r="B419" s="146"/>
      <c r="C419" s="146"/>
      <c r="D419" s="146"/>
      <c r="E419" s="146"/>
      <c r="F419" s="146"/>
      <c r="G419" s="146"/>
      <c r="H419" s="146"/>
      <c r="I419" s="146"/>
      <c r="J419" s="146"/>
      <c r="K419" s="146"/>
      <c r="L419" s="146"/>
      <c r="R419" s="157"/>
      <c r="S419" s="157"/>
      <c r="T419" s="157"/>
      <c r="W419" s="157"/>
      <c r="X419" s="157"/>
      <c r="Y419" s="157"/>
      <c r="AB419" s="157"/>
      <c r="AC419" s="157"/>
      <c r="AD419" s="157"/>
      <c r="AG419" s="157"/>
      <c r="AH419" s="157"/>
      <c r="AI419" s="157"/>
    </row>
    <row r="420" spans="2:35" x14ac:dyDescent="0.2">
      <c r="B420" s="146"/>
      <c r="C420" s="146"/>
      <c r="D420" s="146"/>
      <c r="E420" s="146"/>
      <c r="F420" s="146"/>
      <c r="G420" s="146"/>
      <c r="H420" s="146"/>
      <c r="I420" s="146"/>
      <c r="J420" s="146"/>
      <c r="K420" s="146"/>
      <c r="L420" s="146"/>
      <c r="R420" s="157"/>
      <c r="S420" s="157"/>
      <c r="T420" s="157"/>
      <c r="W420" s="157"/>
      <c r="X420" s="157"/>
      <c r="Y420" s="157"/>
      <c r="AB420" s="157"/>
      <c r="AC420" s="157"/>
      <c r="AD420" s="157"/>
      <c r="AG420" s="157"/>
      <c r="AH420" s="157"/>
      <c r="AI420" s="157"/>
    </row>
    <row r="421" spans="2:35" x14ac:dyDescent="0.2">
      <c r="B421" s="146"/>
      <c r="C421" s="146"/>
      <c r="D421" s="146"/>
      <c r="E421" s="146"/>
      <c r="F421" s="146"/>
      <c r="G421" s="146"/>
      <c r="H421" s="146"/>
      <c r="I421" s="146"/>
      <c r="J421" s="146"/>
      <c r="K421" s="146"/>
      <c r="L421" s="146"/>
      <c r="R421" s="157"/>
      <c r="S421" s="157"/>
      <c r="T421" s="157"/>
      <c r="W421" s="157"/>
      <c r="X421" s="157"/>
      <c r="Y421" s="157"/>
      <c r="AB421" s="157"/>
      <c r="AC421" s="157"/>
      <c r="AD421" s="157"/>
      <c r="AG421" s="157"/>
      <c r="AH421" s="157"/>
      <c r="AI421" s="157"/>
    </row>
    <row r="422" spans="2:35" x14ac:dyDescent="0.2">
      <c r="B422" s="146"/>
      <c r="C422" s="146"/>
      <c r="D422" s="146"/>
      <c r="E422" s="146"/>
      <c r="F422" s="146"/>
      <c r="G422" s="146"/>
      <c r="H422" s="146"/>
      <c r="I422" s="146"/>
      <c r="J422" s="146"/>
      <c r="K422" s="146"/>
      <c r="L422" s="146"/>
      <c r="R422" s="157"/>
      <c r="S422" s="157"/>
      <c r="T422" s="157"/>
      <c r="W422" s="157"/>
      <c r="X422" s="157"/>
      <c r="Y422" s="157"/>
      <c r="AB422" s="157"/>
      <c r="AC422" s="157"/>
      <c r="AD422" s="157"/>
      <c r="AG422" s="157"/>
      <c r="AH422" s="157"/>
      <c r="AI422" s="157"/>
    </row>
    <row r="423" spans="2:35" x14ac:dyDescent="0.2">
      <c r="B423" s="146"/>
      <c r="C423" s="146"/>
      <c r="D423" s="146"/>
      <c r="E423" s="146"/>
      <c r="F423" s="146"/>
      <c r="G423" s="146"/>
      <c r="H423" s="146"/>
      <c r="I423" s="146"/>
      <c r="J423" s="146"/>
      <c r="K423" s="146"/>
      <c r="L423" s="146"/>
      <c r="R423" s="157"/>
      <c r="S423" s="157"/>
      <c r="T423" s="157"/>
      <c r="W423" s="157"/>
      <c r="X423" s="157"/>
      <c r="Y423" s="157"/>
      <c r="AB423" s="157"/>
      <c r="AC423" s="157"/>
      <c r="AD423" s="157"/>
      <c r="AG423" s="157"/>
      <c r="AH423" s="157"/>
      <c r="AI423" s="157"/>
    </row>
    <row r="424" spans="2:35" x14ac:dyDescent="0.2">
      <c r="B424" s="146"/>
      <c r="C424" s="146"/>
      <c r="D424" s="146"/>
      <c r="E424" s="146"/>
      <c r="F424" s="146"/>
      <c r="G424" s="146"/>
      <c r="H424" s="146"/>
      <c r="I424" s="146"/>
      <c r="J424" s="146"/>
      <c r="K424" s="146"/>
      <c r="L424" s="146"/>
      <c r="R424" s="157"/>
      <c r="S424" s="157"/>
      <c r="T424" s="157"/>
      <c r="W424" s="157"/>
      <c r="X424" s="157"/>
      <c r="Y424" s="157"/>
      <c r="AB424" s="157"/>
      <c r="AC424" s="157"/>
      <c r="AD424" s="157"/>
      <c r="AG424" s="157"/>
      <c r="AH424" s="157"/>
      <c r="AI424" s="157"/>
    </row>
    <row r="425" spans="2:35" x14ac:dyDescent="0.2">
      <c r="B425" s="146"/>
      <c r="C425" s="146"/>
      <c r="D425" s="146"/>
      <c r="E425" s="146"/>
      <c r="F425" s="146"/>
      <c r="G425" s="146"/>
      <c r="H425" s="146"/>
      <c r="I425" s="146"/>
      <c r="J425" s="146"/>
      <c r="K425" s="146"/>
      <c r="L425" s="146"/>
      <c r="R425" s="157"/>
      <c r="S425" s="157"/>
      <c r="T425" s="157"/>
      <c r="W425" s="157"/>
      <c r="X425" s="157"/>
      <c r="Y425" s="157"/>
      <c r="AB425" s="157"/>
      <c r="AC425" s="157"/>
      <c r="AD425" s="157"/>
      <c r="AG425" s="157"/>
      <c r="AH425" s="157"/>
      <c r="AI425" s="157"/>
    </row>
    <row r="426" spans="2:35" x14ac:dyDescent="0.2">
      <c r="B426" s="146"/>
      <c r="C426" s="146"/>
      <c r="D426" s="146"/>
      <c r="E426" s="146"/>
      <c r="F426" s="146"/>
      <c r="G426" s="146"/>
      <c r="H426" s="146"/>
      <c r="I426" s="146"/>
      <c r="J426" s="146"/>
      <c r="K426" s="146"/>
      <c r="L426" s="146"/>
      <c r="R426" s="157"/>
      <c r="S426" s="157"/>
      <c r="T426" s="157"/>
      <c r="W426" s="157"/>
      <c r="X426" s="157"/>
      <c r="Y426" s="157"/>
      <c r="AB426" s="157"/>
      <c r="AC426" s="157"/>
      <c r="AD426" s="157"/>
      <c r="AG426" s="157"/>
      <c r="AH426" s="157"/>
      <c r="AI426" s="157"/>
    </row>
    <row r="427" spans="2:35" x14ac:dyDescent="0.2">
      <c r="B427" s="146"/>
      <c r="C427" s="146"/>
      <c r="D427" s="146"/>
      <c r="E427" s="146"/>
      <c r="F427" s="146"/>
      <c r="G427" s="146"/>
      <c r="H427" s="146"/>
      <c r="I427" s="146"/>
      <c r="J427" s="146"/>
      <c r="K427" s="146"/>
      <c r="L427" s="146"/>
      <c r="R427" s="157"/>
      <c r="S427" s="157"/>
      <c r="T427" s="157"/>
      <c r="W427" s="157"/>
      <c r="X427" s="157"/>
      <c r="Y427" s="157"/>
      <c r="AB427" s="157"/>
      <c r="AC427" s="157"/>
      <c r="AD427" s="157"/>
      <c r="AG427" s="157"/>
      <c r="AH427" s="157"/>
      <c r="AI427" s="157"/>
    </row>
    <row r="428" spans="2:35" x14ac:dyDescent="0.2">
      <c r="B428" s="146"/>
      <c r="C428" s="146"/>
      <c r="D428" s="146"/>
      <c r="E428" s="146"/>
      <c r="F428" s="146"/>
      <c r="G428" s="146"/>
      <c r="H428" s="146"/>
      <c r="I428" s="146"/>
      <c r="J428" s="146"/>
      <c r="K428" s="146"/>
      <c r="L428" s="146"/>
      <c r="R428" s="157"/>
      <c r="S428" s="157"/>
      <c r="T428" s="157"/>
      <c r="W428" s="157"/>
      <c r="X428" s="157"/>
      <c r="Y428" s="157"/>
      <c r="AB428" s="157"/>
      <c r="AC428" s="157"/>
      <c r="AD428" s="157"/>
      <c r="AG428" s="157"/>
      <c r="AH428" s="157"/>
      <c r="AI428" s="157"/>
    </row>
    <row r="429" spans="2:35" x14ac:dyDescent="0.2">
      <c r="B429" s="146"/>
      <c r="C429" s="146"/>
      <c r="D429" s="146"/>
      <c r="E429" s="146"/>
      <c r="F429" s="146"/>
      <c r="G429" s="146"/>
      <c r="H429" s="146"/>
      <c r="I429" s="146"/>
      <c r="J429" s="146"/>
      <c r="K429" s="146"/>
      <c r="L429" s="146"/>
      <c r="R429" s="157"/>
      <c r="S429" s="157"/>
      <c r="T429" s="157"/>
      <c r="W429" s="157"/>
      <c r="X429" s="157"/>
      <c r="Y429" s="157"/>
      <c r="AB429" s="157"/>
      <c r="AC429" s="157"/>
      <c r="AD429" s="157"/>
      <c r="AG429" s="157"/>
      <c r="AH429" s="157"/>
      <c r="AI429" s="157"/>
    </row>
    <row r="430" spans="2:35" x14ac:dyDescent="0.2">
      <c r="B430" s="146"/>
      <c r="C430" s="146"/>
      <c r="D430" s="146"/>
      <c r="E430" s="146"/>
      <c r="F430" s="146"/>
      <c r="G430" s="146"/>
      <c r="H430" s="146"/>
      <c r="I430" s="146"/>
      <c r="J430" s="146"/>
      <c r="K430" s="146"/>
      <c r="L430" s="146"/>
      <c r="R430" s="157"/>
      <c r="S430" s="157"/>
      <c r="T430" s="157"/>
      <c r="W430" s="157"/>
      <c r="X430" s="157"/>
      <c r="Y430" s="157"/>
      <c r="AB430" s="157"/>
      <c r="AC430" s="157"/>
      <c r="AD430" s="157"/>
      <c r="AG430" s="157"/>
      <c r="AH430" s="157"/>
      <c r="AI430" s="157"/>
    </row>
    <row r="431" spans="2:35" x14ac:dyDescent="0.2">
      <c r="B431" s="146"/>
      <c r="C431" s="146"/>
      <c r="D431" s="146"/>
      <c r="E431" s="146"/>
      <c r="F431" s="146"/>
      <c r="G431" s="146"/>
      <c r="H431" s="146"/>
      <c r="I431" s="146"/>
      <c r="J431" s="146"/>
      <c r="K431" s="146"/>
      <c r="L431" s="146"/>
      <c r="R431" s="157"/>
      <c r="S431" s="157"/>
      <c r="T431" s="157"/>
      <c r="W431" s="157"/>
      <c r="X431" s="157"/>
      <c r="Y431" s="157"/>
      <c r="AB431" s="157"/>
      <c r="AC431" s="157"/>
      <c r="AD431" s="157"/>
      <c r="AG431" s="157"/>
      <c r="AH431" s="157"/>
      <c r="AI431" s="157"/>
    </row>
    <row r="432" spans="2:35" x14ac:dyDescent="0.2">
      <c r="B432" s="146"/>
      <c r="C432" s="146"/>
      <c r="D432" s="146"/>
      <c r="E432" s="146"/>
      <c r="F432" s="146"/>
      <c r="G432" s="146"/>
      <c r="H432" s="146"/>
      <c r="I432" s="146"/>
      <c r="J432" s="146"/>
      <c r="K432" s="146"/>
      <c r="L432" s="146"/>
      <c r="R432" s="157"/>
      <c r="S432" s="157"/>
      <c r="T432" s="157"/>
      <c r="W432" s="157"/>
      <c r="X432" s="157"/>
      <c r="Y432" s="157"/>
      <c r="AB432" s="157"/>
      <c r="AC432" s="157"/>
      <c r="AD432" s="157"/>
      <c r="AG432" s="157"/>
      <c r="AH432" s="157"/>
      <c r="AI432" s="157"/>
    </row>
    <row r="433" spans="2:35" x14ac:dyDescent="0.2">
      <c r="B433" s="146"/>
      <c r="C433" s="146"/>
      <c r="D433" s="146"/>
      <c r="E433" s="146"/>
      <c r="F433" s="146"/>
      <c r="G433" s="146"/>
      <c r="H433" s="146"/>
      <c r="I433" s="146"/>
      <c r="J433" s="146"/>
      <c r="K433" s="146"/>
      <c r="L433" s="146"/>
      <c r="R433" s="157"/>
      <c r="S433" s="157"/>
      <c r="T433" s="157"/>
      <c r="W433" s="157"/>
      <c r="X433" s="157"/>
      <c r="Y433" s="157"/>
      <c r="AB433" s="157"/>
      <c r="AC433" s="157"/>
      <c r="AD433" s="157"/>
      <c r="AG433" s="157"/>
      <c r="AH433" s="157"/>
      <c r="AI433" s="157"/>
    </row>
    <row r="434" spans="2:35" x14ac:dyDescent="0.2">
      <c r="B434" s="146"/>
      <c r="C434" s="146"/>
      <c r="D434" s="146"/>
      <c r="E434" s="146"/>
      <c r="F434" s="146"/>
      <c r="G434" s="146"/>
      <c r="H434" s="146"/>
      <c r="I434" s="146"/>
      <c r="J434" s="146"/>
      <c r="K434" s="146"/>
      <c r="L434" s="146"/>
      <c r="R434" s="157"/>
      <c r="S434" s="157"/>
      <c r="T434" s="157"/>
      <c r="W434" s="157"/>
      <c r="X434" s="157"/>
      <c r="Y434" s="157"/>
      <c r="AB434" s="157"/>
      <c r="AC434" s="157"/>
      <c r="AD434" s="157"/>
      <c r="AG434" s="157"/>
      <c r="AH434" s="157"/>
      <c r="AI434" s="157"/>
    </row>
    <row r="435" spans="2:35" x14ac:dyDescent="0.2">
      <c r="B435" s="146"/>
      <c r="C435" s="146"/>
      <c r="D435" s="146"/>
      <c r="E435" s="146"/>
      <c r="F435" s="146"/>
      <c r="G435" s="146"/>
      <c r="H435" s="146"/>
      <c r="I435" s="146"/>
      <c r="J435" s="146"/>
      <c r="K435" s="146"/>
      <c r="L435" s="146"/>
      <c r="R435" s="157"/>
      <c r="S435" s="157"/>
      <c r="T435" s="157"/>
      <c r="W435" s="157"/>
      <c r="X435" s="157"/>
      <c r="Y435" s="157"/>
      <c r="AB435" s="157"/>
      <c r="AC435" s="157"/>
      <c r="AD435" s="157"/>
      <c r="AG435" s="157"/>
      <c r="AH435" s="157"/>
      <c r="AI435" s="157"/>
    </row>
    <row r="436" spans="2:35" x14ac:dyDescent="0.2">
      <c r="B436" s="146"/>
      <c r="C436" s="146"/>
      <c r="D436" s="146"/>
      <c r="E436" s="146"/>
      <c r="F436" s="146"/>
      <c r="G436" s="146"/>
      <c r="H436" s="146"/>
      <c r="I436" s="146"/>
      <c r="J436" s="146"/>
      <c r="K436" s="146"/>
      <c r="L436" s="146"/>
      <c r="R436" s="157"/>
      <c r="S436" s="157"/>
      <c r="T436" s="157"/>
      <c r="W436" s="157"/>
      <c r="X436" s="157"/>
      <c r="Y436" s="157"/>
      <c r="AB436" s="157"/>
      <c r="AC436" s="157"/>
      <c r="AD436" s="157"/>
      <c r="AG436" s="157"/>
      <c r="AH436" s="157"/>
      <c r="AI436" s="157"/>
    </row>
    <row r="437" spans="2:35" x14ac:dyDescent="0.2">
      <c r="B437" s="146"/>
      <c r="C437" s="146"/>
      <c r="D437" s="146"/>
      <c r="E437" s="146"/>
      <c r="F437" s="146"/>
      <c r="G437" s="146"/>
      <c r="H437" s="146"/>
      <c r="I437" s="146"/>
      <c r="J437" s="146"/>
      <c r="K437" s="146"/>
      <c r="L437" s="146"/>
      <c r="R437" s="157"/>
      <c r="S437" s="157"/>
      <c r="T437" s="157"/>
      <c r="W437" s="157"/>
      <c r="X437" s="157"/>
      <c r="Y437" s="157"/>
      <c r="AB437" s="157"/>
      <c r="AC437" s="157"/>
      <c r="AD437" s="157"/>
      <c r="AG437" s="157"/>
      <c r="AH437" s="157"/>
      <c r="AI437" s="157"/>
    </row>
    <row r="438" spans="2:35" x14ac:dyDescent="0.2">
      <c r="B438" s="146"/>
      <c r="C438" s="146"/>
      <c r="D438" s="146"/>
      <c r="E438" s="146"/>
      <c r="F438" s="146"/>
      <c r="G438" s="146"/>
      <c r="H438" s="146"/>
      <c r="I438" s="146"/>
      <c r="J438" s="146"/>
      <c r="K438" s="146"/>
      <c r="L438" s="146"/>
      <c r="R438" s="157"/>
      <c r="S438" s="157"/>
      <c r="T438" s="157"/>
      <c r="W438" s="157"/>
      <c r="X438" s="157"/>
      <c r="Y438" s="157"/>
      <c r="AB438" s="157"/>
      <c r="AC438" s="157"/>
      <c r="AD438" s="157"/>
      <c r="AG438" s="157"/>
      <c r="AH438" s="157"/>
      <c r="AI438" s="157"/>
    </row>
    <row r="439" spans="2:35" x14ac:dyDescent="0.2">
      <c r="B439" s="146"/>
      <c r="C439" s="146"/>
      <c r="D439" s="146"/>
      <c r="E439" s="146"/>
      <c r="F439" s="146"/>
      <c r="G439" s="146"/>
      <c r="H439" s="146"/>
      <c r="I439" s="146"/>
      <c r="J439" s="146"/>
      <c r="K439" s="146"/>
      <c r="L439" s="146"/>
      <c r="R439" s="157"/>
      <c r="S439" s="157"/>
      <c r="T439" s="157"/>
      <c r="W439" s="157"/>
      <c r="X439" s="157"/>
      <c r="Y439" s="157"/>
      <c r="AB439" s="157"/>
      <c r="AC439" s="157"/>
      <c r="AD439" s="157"/>
      <c r="AG439" s="157"/>
      <c r="AH439" s="157"/>
      <c r="AI439" s="157"/>
    </row>
    <row r="440" spans="2:35" x14ac:dyDescent="0.2">
      <c r="B440" s="146"/>
      <c r="C440" s="146"/>
      <c r="D440" s="146"/>
      <c r="E440" s="146"/>
      <c r="F440" s="146"/>
      <c r="G440" s="146"/>
      <c r="H440" s="146"/>
      <c r="I440" s="146"/>
      <c r="J440" s="146"/>
      <c r="K440" s="146"/>
      <c r="L440" s="146"/>
      <c r="R440" s="157"/>
      <c r="S440" s="157"/>
      <c r="T440" s="157"/>
      <c r="W440" s="157"/>
      <c r="X440" s="157"/>
      <c r="Y440" s="157"/>
      <c r="AB440" s="157"/>
      <c r="AC440" s="157"/>
      <c r="AD440" s="157"/>
      <c r="AG440" s="157"/>
      <c r="AH440" s="157"/>
      <c r="AI440" s="157"/>
    </row>
    <row r="441" spans="2:35" x14ac:dyDescent="0.2">
      <c r="B441" s="146"/>
      <c r="C441" s="146"/>
      <c r="D441" s="146"/>
      <c r="E441" s="146"/>
      <c r="F441" s="146"/>
      <c r="G441" s="146"/>
      <c r="H441" s="146"/>
      <c r="I441" s="146"/>
      <c r="J441" s="146"/>
      <c r="K441" s="146"/>
      <c r="L441" s="146"/>
      <c r="R441" s="157"/>
      <c r="S441" s="157"/>
      <c r="T441" s="157"/>
      <c r="W441" s="157"/>
      <c r="X441" s="157"/>
      <c r="Y441" s="157"/>
      <c r="AB441" s="157"/>
      <c r="AC441" s="157"/>
      <c r="AD441" s="157"/>
      <c r="AG441" s="157"/>
      <c r="AH441" s="157"/>
      <c r="AI441" s="157"/>
    </row>
    <row r="442" spans="2:35" x14ac:dyDescent="0.2">
      <c r="B442" s="146"/>
      <c r="C442" s="146"/>
      <c r="D442" s="146"/>
      <c r="E442" s="146"/>
      <c r="F442" s="146"/>
      <c r="G442" s="146"/>
      <c r="H442" s="146"/>
      <c r="I442" s="146"/>
      <c r="J442" s="146"/>
      <c r="K442" s="146"/>
      <c r="L442" s="146"/>
      <c r="R442" s="157"/>
      <c r="S442" s="157"/>
      <c r="T442" s="157"/>
      <c r="W442" s="157"/>
      <c r="X442" s="157"/>
      <c r="Y442" s="157"/>
      <c r="AB442" s="157"/>
      <c r="AC442" s="157"/>
      <c r="AD442" s="157"/>
      <c r="AG442" s="157"/>
      <c r="AH442" s="157"/>
      <c r="AI442" s="157"/>
    </row>
    <row r="443" spans="2:35" x14ac:dyDescent="0.2">
      <c r="B443" s="146"/>
      <c r="C443" s="146"/>
      <c r="D443" s="146"/>
      <c r="E443" s="146"/>
      <c r="F443" s="146"/>
      <c r="G443" s="146"/>
      <c r="H443" s="146"/>
      <c r="I443" s="146"/>
      <c r="J443" s="146"/>
      <c r="K443" s="146"/>
      <c r="L443" s="146"/>
      <c r="R443" s="157"/>
      <c r="S443" s="157"/>
      <c r="T443" s="157"/>
      <c r="W443" s="157"/>
      <c r="X443" s="157"/>
      <c r="Y443" s="157"/>
      <c r="AB443" s="157"/>
      <c r="AC443" s="157"/>
      <c r="AD443" s="157"/>
      <c r="AG443" s="157"/>
      <c r="AH443" s="157"/>
      <c r="AI443" s="157"/>
    </row>
    <row r="444" spans="2:35" x14ac:dyDescent="0.2">
      <c r="B444" s="146"/>
      <c r="C444" s="146"/>
      <c r="D444" s="146"/>
      <c r="E444" s="146"/>
      <c r="F444" s="146"/>
      <c r="G444" s="146"/>
      <c r="H444" s="146"/>
      <c r="I444" s="146"/>
      <c r="J444" s="146"/>
      <c r="K444" s="146"/>
      <c r="L444" s="146"/>
      <c r="R444" s="157"/>
      <c r="S444" s="157"/>
      <c r="T444" s="157"/>
      <c r="W444" s="157"/>
      <c r="X444" s="157"/>
      <c r="Y444" s="157"/>
      <c r="AB444" s="157"/>
      <c r="AC444" s="157"/>
      <c r="AD444" s="157"/>
      <c r="AG444" s="157"/>
      <c r="AH444" s="157"/>
      <c r="AI444" s="157"/>
    </row>
    <row r="445" spans="2:35" x14ac:dyDescent="0.2">
      <c r="B445" s="146"/>
      <c r="C445" s="146"/>
      <c r="D445" s="146"/>
      <c r="E445" s="146"/>
      <c r="F445" s="146"/>
      <c r="G445" s="146"/>
      <c r="H445" s="146"/>
      <c r="I445" s="146"/>
      <c r="J445" s="146"/>
      <c r="K445" s="146"/>
      <c r="L445" s="146"/>
      <c r="R445" s="157"/>
      <c r="S445" s="157"/>
      <c r="T445" s="157"/>
      <c r="W445" s="157"/>
      <c r="X445" s="157"/>
      <c r="Y445" s="157"/>
      <c r="AB445" s="157"/>
      <c r="AC445" s="157"/>
      <c r="AD445" s="157"/>
      <c r="AG445" s="157"/>
      <c r="AH445" s="157"/>
      <c r="AI445" s="157"/>
    </row>
    <row r="446" spans="2:35" x14ac:dyDescent="0.2">
      <c r="B446" s="146"/>
      <c r="C446" s="146"/>
      <c r="D446" s="146"/>
      <c r="E446" s="146"/>
      <c r="F446" s="146"/>
      <c r="G446" s="146"/>
      <c r="H446" s="146"/>
      <c r="I446" s="146"/>
      <c r="J446" s="146"/>
      <c r="K446" s="146"/>
      <c r="L446" s="146"/>
      <c r="R446" s="157"/>
      <c r="S446" s="157"/>
      <c r="T446" s="157"/>
      <c r="W446" s="157"/>
      <c r="X446" s="157"/>
      <c r="Y446" s="157"/>
      <c r="AB446" s="157"/>
      <c r="AC446" s="157"/>
      <c r="AD446" s="157"/>
      <c r="AG446" s="157"/>
      <c r="AH446" s="157"/>
      <c r="AI446" s="157"/>
    </row>
    <row r="447" spans="2:35" x14ac:dyDescent="0.2">
      <c r="B447" s="146"/>
      <c r="C447" s="146"/>
      <c r="D447" s="146"/>
      <c r="E447" s="146"/>
      <c r="F447" s="146"/>
      <c r="G447" s="146"/>
      <c r="H447" s="146"/>
      <c r="I447" s="146"/>
      <c r="J447" s="146"/>
      <c r="K447" s="146"/>
      <c r="L447" s="146"/>
      <c r="R447" s="157"/>
      <c r="S447" s="157"/>
      <c r="T447" s="157"/>
      <c r="W447" s="157"/>
      <c r="X447" s="157"/>
      <c r="Y447" s="157"/>
      <c r="AB447" s="157"/>
      <c r="AC447" s="157"/>
      <c r="AD447" s="157"/>
      <c r="AG447" s="157"/>
      <c r="AH447" s="157"/>
      <c r="AI447" s="157"/>
    </row>
    <row r="448" spans="2:35" x14ac:dyDescent="0.2">
      <c r="B448" s="146"/>
      <c r="C448" s="146"/>
      <c r="D448" s="146"/>
      <c r="E448" s="146"/>
      <c r="F448" s="146"/>
      <c r="G448" s="146"/>
      <c r="H448" s="146"/>
      <c r="I448" s="146"/>
      <c r="J448" s="146"/>
      <c r="K448" s="146"/>
      <c r="L448" s="146"/>
      <c r="R448" s="157"/>
      <c r="S448" s="157"/>
      <c r="T448" s="157"/>
      <c r="W448" s="157"/>
      <c r="X448" s="157"/>
      <c r="Y448" s="157"/>
      <c r="AB448" s="157"/>
      <c r="AC448" s="157"/>
      <c r="AD448" s="157"/>
      <c r="AG448" s="157"/>
      <c r="AH448" s="157"/>
      <c r="AI448" s="157"/>
    </row>
    <row r="449" spans="2:35" x14ac:dyDescent="0.2">
      <c r="B449" s="146"/>
      <c r="C449" s="146"/>
      <c r="D449" s="146"/>
      <c r="E449" s="146"/>
      <c r="F449" s="146"/>
      <c r="G449" s="146"/>
      <c r="H449" s="146"/>
      <c r="I449" s="146"/>
      <c r="J449" s="146"/>
      <c r="K449" s="146"/>
      <c r="L449" s="146"/>
      <c r="R449" s="157"/>
      <c r="S449" s="157"/>
      <c r="T449" s="157"/>
      <c r="W449" s="157"/>
      <c r="X449" s="157"/>
      <c r="Y449" s="157"/>
      <c r="AB449" s="157"/>
      <c r="AC449" s="157"/>
      <c r="AD449" s="157"/>
      <c r="AG449" s="157"/>
      <c r="AH449" s="157"/>
      <c r="AI449" s="157"/>
    </row>
    <row r="450" spans="2:35" x14ac:dyDescent="0.2">
      <c r="B450" s="146"/>
      <c r="C450" s="146"/>
      <c r="D450" s="146"/>
      <c r="E450" s="146"/>
      <c r="F450" s="146"/>
      <c r="G450" s="146"/>
      <c r="H450" s="146"/>
      <c r="I450" s="146"/>
      <c r="J450" s="146"/>
      <c r="K450" s="146"/>
      <c r="L450" s="146"/>
      <c r="R450" s="157"/>
      <c r="S450" s="157"/>
      <c r="T450" s="157"/>
      <c r="W450" s="157"/>
      <c r="X450" s="157"/>
      <c r="Y450" s="157"/>
      <c r="AB450" s="157"/>
      <c r="AC450" s="157"/>
      <c r="AD450" s="157"/>
      <c r="AG450" s="157"/>
      <c r="AH450" s="157"/>
      <c r="AI450" s="157"/>
    </row>
    <row r="451" spans="2:35" x14ac:dyDescent="0.2">
      <c r="B451" s="146"/>
      <c r="C451" s="146"/>
      <c r="D451" s="146"/>
      <c r="E451" s="146"/>
      <c r="F451" s="146"/>
      <c r="G451" s="146"/>
      <c r="H451" s="146"/>
      <c r="I451" s="146"/>
      <c r="J451" s="146"/>
      <c r="K451" s="146"/>
      <c r="L451" s="146"/>
      <c r="R451" s="157"/>
      <c r="S451" s="157"/>
      <c r="T451" s="157"/>
      <c r="W451" s="157"/>
      <c r="X451" s="157"/>
      <c r="Y451" s="157"/>
      <c r="AB451" s="157"/>
      <c r="AC451" s="157"/>
      <c r="AD451" s="157"/>
      <c r="AG451" s="157"/>
      <c r="AH451" s="157"/>
      <c r="AI451" s="157"/>
    </row>
    <row r="452" spans="2:35" x14ac:dyDescent="0.2">
      <c r="B452" s="146"/>
      <c r="C452" s="146"/>
      <c r="D452" s="146"/>
      <c r="E452" s="146"/>
      <c r="F452" s="146"/>
      <c r="G452" s="146"/>
      <c r="H452" s="146"/>
      <c r="I452" s="146"/>
      <c r="J452" s="146"/>
      <c r="K452" s="146"/>
      <c r="L452" s="146"/>
      <c r="R452" s="157"/>
      <c r="S452" s="157"/>
      <c r="T452" s="157"/>
      <c r="W452" s="157"/>
      <c r="X452" s="157"/>
      <c r="Y452" s="157"/>
      <c r="AB452" s="157"/>
      <c r="AC452" s="157"/>
      <c r="AD452" s="157"/>
      <c r="AG452" s="157"/>
      <c r="AH452" s="157"/>
      <c r="AI452" s="157"/>
    </row>
    <row r="453" spans="2:35" x14ac:dyDescent="0.2">
      <c r="B453" s="146"/>
      <c r="C453" s="146"/>
      <c r="D453" s="146"/>
      <c r="E453" s="146"/>
      <c r="F453" s="146"/>
      <c r="G453" s="146"/>
      <c r="H453" s="146"/>
      <c r="I453" s="146"/>
      <c r="J453" s="146"/>
      <c r="K453" s="146"/>
      <c r="L453" s="146"/>
      <c r="R453" s="157"/>
      <c r="S453" s="157"/>
      <c r="T453" s="157"/>
      <c r="W453" s="157"/>
      <c r="X453" s="157"/>
      <c r="Y453" s="157"/>
      <c r="AB453" s="157"/>
      <c r="AC453" s="157"/>
      <c r="AD453" s="157"/>
      <c r="AG453" s="157"/>
      <c r="AH453" s="157"/>
      <c r="AI453" s="157"/>
    </row>
    <row r="454" spans="2:35" x14ac:dyDescent="0.2">
      <c r="B454" s="146"/>
      <c r="C454" s="146"/>
      <c r="D454" s="146"/>
      <c r="E454" s="146"/>
      <c r="F454" s="146"/>
      <c r="G454" s="146"/>
      <c r="H454" s="146"/>
      <c r="I454" s="146"/>
      <c r="J454" s="146"/>
      <c r="K454" s="146"/>
      <c r="L454" s="146"/>
      <c r="AG454" s="157"/>
      <c r="AH454" s="157"/>
      <c r="AI454" s="157"/>
    </row>
    <row r="455" spans="2:35" x14ac:dyDescent="0.2">
      <c r="B455" s="146"/>
      <c r="C455" s="146"/>
      <c r="D455" s="146"/>
      <c r="E455" s="146"/>
      <c r="F455" s="146"/>
      <c r="G455" s="146"/>
      <c r="H455" s="146"/>
      <c r="I455" s="146"/>
      <c r="J455" s="146"/>
      <c r="K455" s="146"/>
      <c r="L455" s="146"/>
    </row>
    <row r="456" spans="2:35" x14ac:dyDescent="0.2">
      <c r="B456" s="146"/>
      <c r="C456" s="146"/>
      <c r="D456" s="146"/>
      <c r="E456" s="146"/>
      <c r="F456" s="146"/>
      <c r="G456" s="146"/>
      <c r="H456" s="146"/>
      <c r="I456" s="146"/>
      <c r="J456" s="146"/>
      <c r="K456" s="146"/>
      <c r="L456" s="146"/>
    </row>
    <row r="457" spans="2:35" x14ac:dyDescent="0.2">
      <c r="B457" s="146"/>
      <c r="C457" s="146"/>
      <c r="D457" s="146"/>
      <c r="E457" s="146"/>
      <c r="F457" s="146"/>
      <c r="G457" s="146"/>
      <c r="H457" s="146"/>
      <c r="I457" s="146"/>
      <c r="J457" s="146"/>
      <c r="K457" s="146"/>
      <c r="L457" s="146"/>
    </row>
    <row r="458" spans="2:35" x14ac:dyDescent="0.2">
      <c r="B458" s="146"/>
      <c r="C458" s="146"/>
      <c r="D458" s="146"/>
      <c r="E458" s="146"/>
      <c r="F458" s="146"/>
      <c r="G458" s="146"/>
      <c r="H458" s="146"/>
      <c r="I458" s="146"/>
      <c r="J458" s="146"/>
      <c r="K458" s="146"/>
      <c r="L458" s="146"/>
    </row>
    <row r="459" spans="2:35" x14ac:dyDescent="0.2">
      <c r="B459" s="146"/>
      <c r="C459" s="146"/>
      <c r="D459" s="146"/>
      <c r="E459" s="146"/>
      <c r="F459" s="146"/>
      <c r="G459" s="146"/>
      <c r="H459" s="146"/>
      <c r="I459" s="146"/>
      <c r="J459" s="146"/>
      <c r="K459" s="146"/>
      <c r="L459" s="146"/>
    </row>
    <row r="460" spans="2:35" x14ac:dyDescent="0.2">
      <c r="B460" s="146"/>
      <c r="C460" s="146"/>
      <c r="D460" s="146"/>
      <c r="E460" s="146"/>
      <c r="F460" s="146"/>
      <c r="G460" s="146"/>
      <c r="H460" s="146"/>
      <c r="I460" s="146"/>
      <c r="J460" s="146"/>
      <c r="K460" s="146"/>
      <c r="L460" s="146"/>
    </row>
    <row r="461" spans="2:35" x14ac:dyDescent="0.2">
      <c r="B461" s="146"/>
      <c r="C461" s="146"/>
      <c r="D461" s="146"/>
      <c r="E461" s="146"/>
      <c r="F461" s="146"/>
      <c r="G461" s="146"/>
      <c r="H461" s="146"/>
      <c r="I461" s="146"/>
      <c r="J461" s="146"/>
      <c r="K461" s="146"/>
      <c r="L461" s="146"/>
    </row>
    <row r="462" spans="2:35" x14ac:dyDescent="0.2">
      <c r="B462" s="146"/>
      <c r="C462" s="146"/>
      <c r="D462" s="146"/>
      <c r="E462" s="146"/>
      <c r="F462" s="146"/>
      <c r="G462" s="146"/>
      <c r="H462" s="146"/>
      <c r="I462" s="146"/>
      <c r="J462" s="146"/>
      <c r="K462" s="146"/>
      <c r="L462" s="146"/>
    </row>
    <row r="463" spans="2:35" x14ac:dyDescent="0.2">
      <c r="B463" s="146"/>
      <c r="C463" s="146"/>
      <c r="D463" s="146"/>
      <c r="E463" s="146"/>
      <c r="F463" s="146"/>
      <c r="G463" s="146"/>
      <c r="H463" s="146"/>
      <c r="I463" s="146"/>
      <c r="J463" s="146"/>
      <c r="K463" s="146"/>
      <c r="L463" s="146"/>
    </row>
    <row r="464" spans="2:35" x14ac:dyDescent="0.2">
      <c r="B464" s="146"/>
      <c r="C464" s="146"/>
      <c r="D464" s="146"/>
      <c r="E464" s="146"/>
      <c r="F464" s="146"/>
      <c r="G464" s="146"/>
      <c r="H464" s="146"/>
      <c r="I464" s="146"/>
      <c r="J464" s="146"/>
      <c r="K464" s="146"/>
      <c r="L464" s="146"/>
    </row>
    <row r="465" spans="2:12" x14ac:dyDescent="0.2">
      <c r="B465" s="146"/>
      <c r="C465" s="146"/>
      <c r="D465" s="146"/>
      <c r="E465" s="146"/>
      <c r="F465" s="146"/>
      <c r="G465" s="146"/>
      <c r="H465" s="146"/>
      <c r="I465" s="146"/>
      <c r="J465" s="146"/>
      <c r="K465" s="146"/>
      <c r="L465" s="146"/>
    </row>
    <row r="466" spans="2:12" x14ac:dyDescent="0.2">
      <c r="B466" s="146"/>
      <c r="C466" s="146"/>
      <c r="D466" s="146"/>
      <c r="E466" s="146"/>
      <c r="F466" s="146"/>
      <c r="G466" s="146"/>
      <c r="H466" s="146"/>
      <c r="I466" s="146"/>
      <c r="J466" s="146"/>
      <c r="K466" s="146"/>
      <c r="L466" s="146"/>
    </row>
    <row r="467" spans="2:12" x14ac:dyDescent="0.2">
      <c r="B467" s="146"/>
      <c r="C467" s="146"/>
      <c r="D467" s="146"/>
      <c r="E467" s="146"/>
      <c r="F467" s="146"/>
      <c r="G467" s="146"/>
      <c r="H467" s="146"/>
      <c r="I467" s="146"/>
      <c r="J467" s="146"/>
      <c r="K467" s="146"/>
      <c r="L467" s="146"/>
    </row>
    <row r="468" spans="2:12" x14ac:dyDescent="0.2">
      <c r="B468" s="146"/>
      <c r="C468" s="146"/>
      <c r="D468" s="146"/>
      <c r="E468" s="146"/>
      <c r="F468" s="146"/>
      <c r="G468" s="146"/>
      <c r="H468" s="146"/>
      <c r="I468" s="146"/>
      <c r="J468" s="146"/>
      <c r="K468" s="146"/>
      <c r="L468" s="146"/>
    </row>
    <row r="469" spans="2:12" x14ac:dyDescent="0.2">
      <c r="B469" s="146"/>
      <c r="C469" s="146"/>
      <c r="D469" s="146"/>
      <c r="E469" s="146"/>
      <c r="F469" s="146"/>
      <c r="G469" s="146"/>
      <c r="H469" s="146"/>
      <c r="I469" s="146"/>
      <c r="J469" s="146"/>
      <c r="K469" s="146"/>
      <c r="L469" s="146"/>
    </row>
    <row r="470" spans="2:12" x14ac:dyDescent="0.2">
      <c r="B470" s="146"/>
      <c r="C470" s="146"/>
      <c r="D470" s="146"/>
      <c r="E470" s="146"/>
      <c r="F470" s="146"/>
      <c r="G470" s="146"/>
      <c r="H470" s="146"/>
      <c r="I470" s="146"/>
      <c r="J470" s="146"/>
      <c r="K470" s="146"/>
      <c r="L470" s="146"/>
    </row>
    <row r="471" spans="2:12" x14ac:dyDescent="0.2">
      <c r="B471" s="146"/>
      <c r="C471" s="146"/>
      <c r="D471" s="146"/>
      <c r="E471" s="146"/>
      <c r="F471" s="146"/>
      <c r="G471" s="146"/>
      <c r="H471" s="146"/>
      <c r="I471" s="146"/>
      <c r="J471" s="146"/>
      <c r="K471" s="146"/>
      <c r="L471" s="146"/>
    </row>
    <row r="472" spans="2:12" x14ac:dyDescent="0.2">
      <c r="B472" s="146"/>
      <c r="C472" s="146"/>
      <c r="D472" s="146"/>
      <c r="E472" s="146"/>
      <c r="F472" s="146"/>
      <c r="G472" s="146"/>
      <c r="H472" s="146"/>
      <c r="I472" s="146"/>
      <c r="J472" s="146"/>
      <c r="K472" s="146"/>
      <c r="L472" s="146"/>
    </row>
    <row r="473" spans="2:12" x14ac:dyDescent="0.2">
      <c r="B473" s="146"/>
      <c r="C473" s="146"/>
      <c r="D473" s="146"/>
      <c r="E473" s="146"/>
      <c r="F473" s="146"/>
      <c r="G473" s="146"/>
      <c r="H473" s="146"/>
      <c r="I473" s="146"/>
      <c r="J473" s="146"/>
      <c r="K473" s="146"/>
      <c r="L473" s="146"/>
    </row>
    <row r="474" spans="2:12" x14ac:dyDescent="0.2">
      <c r="B474" s="146"/>
      <c r="C474" s="146"/>
      <c r="D474" s="146"/>
      <c r="E474" s="146"/>
      <c r="F474" s="146"/>
      <c r="G474" s="146"/>
      <c r="H474" s="146"/>
      <c r="I474" s="146"/>
      <c r="J474" s="146"/>
      <c r="K474" s="146"/>
      <c r="L474" s="146"/>
    </row>
    <row r="475" spans="2:12" x14ac:dyDescent="0.2">
      <c r="B475" s="146"/>
      <c r="C475" s="146"/>
      <c r="D475" s="146"/>
      <c r="E475" s="146"/>
      <c r="F475" s="146"/>
      <c r="G475" s="146"/>
      <c r="H475" s="146"/>
      <c r="I475" s="146"/>
      <c r="J475" s="146"/>
      <c r="K475" s="146"/>
      <c r="L475" s="146"/>
    </row>
    <row r="476" spans="2:12" x14ac:dyDescent="0.2">
      <c r="B476" s="146"/>
      <c r="C476" s="146"/>
      <c r="D476" s="146"/>
      <c r="E476" s="146"/>
      <c r="F476" s="146"/>
      <c r="G476" s="146"/>
      <c r="H476" s="146"/>
      <c r="I476" s="146"/>
      <c r="J476" s="146"/>
      <c r="K476" s="146"/>
      <c r="L476" s="146"/>
    </row>
    <row r="477" spans="2:12" x14ac:dyDescent="0.2">
      <c r="B477" s="146"/>
      <c r="C477" s="146"/>
      <c r="D477" s="146"/>
      <c r="E477" s="146"/>
      <c r="F477" s="146"/>
      <c r="G477" s="146"/>
      <c r="H477" s="146"/>
      <c r="I477" s="146"/>
      <c r="J477" s="146"/>
      <c r="K477" s="146"/>
      <c r="L477" s="146"/>
    </row>
    <row r="478" spans="2:12" x14ac:dyDescent="0.2">
      <c r="B478" s="146"/>
      <c r="C478" s="146"/>
      <c r="D478" s="146"/>
      <c r="E478" s="146"/>
      <c r="F478" s="146"/>
      <c r="G478" s="146"/>
      <c r="H478" s="146"/>
      <c r="I478" s="146"/>
      <c r="J478" s="146"/>
      <c r="K478" s="146"/>
      <c r="L478" s="146"/>
    </row>
    <row r="479" spans="2:12" x14ac:dyDescent="0.2">
      <c r="B479" s="146"/>
      <c r="C479" s="146"/>
      <c r="D479" s="146"/>
      <c r="E479" s="146"/>
      <c r="F479" s="146"/>
      <c r="G479" s="146"/>
      <c r="H479" s="146"/>
      <c r="I479" s="146"/>
      <c r="J479" s="146"/>
      <c r="K479" s="146"/>
      <c r="L479" s="146"/>
    </row>
    <row r="480" spans="2:12" x14ac:dyDescent="0.2">
      <c r="B480" s="146"/>
      <c r="C480" s="146"/>
      <c r="D480" s="146"/>
      <c r="E480" s="146"/>
      <c r="F480" s="146"/>
      <c r="G480" s="146"/>
      <c r="H480" s="146"/>
      <c r="I480" s="146"/>
      <c r="J480" s="146"/>
      <c r="K480" s="146"/>
      <c r="L480" s="146"/>
    </row>
    <row r="481" spans="2:12" x14ac:dyDescent="0.2">
      <c r="B481" s="146"/>
      <c r="C481" s="146"/>
      <c r="D481" s="146"/>
      <c r="E481" s="146"/>
      <c r="F481" s="146"/>
      <c r="G481" s="146"/>
      <c r="H481" s="146"/>
      <c r="I481" s="146"/>
      <c r="J481" s="146"/>
      <c r="K481" s="146"/>
      <c r="L481" s="146"/>
    </row>
    <row r="482" spans="2:12" x14ac:dyDescent="0.2">
      <c r="B482" s="146"/>
      <c r="C482" s="146"/>
      <c r="D482" s="146"/>
      <c r="E482" s="146"/>
      <c r="F482" s="146"/>
      <c r="G482" s="146"/>
      <c r="H482" s="146"/>
      <c r="I482" s="146"/>
      <c r="J482" s="146"/>
      <c r="K482" s="146"/>
      <c r="L482" s="146"/>
    </row>
    <row r="483" spans="2:12" x14ac:dyDescent="0.2">
      <c r="B483" s="146"/>
      <c r="C483" s="146"/>
      <c r="D483" s="146"/>
      <c r="E483" s="146"/>
      <c r="F483" s="146"/>
      <c r="G483" s="146"/>
      <c r="H483" s="146"/>
      <c r="I483" s="146"/>
      <c r="J483" s="146"/>
      <c r="K483" s="146"/>
      <c r="L483" s="146"/>
    </row>
    <row r="484" spans="2:12" x14ac:dyDescent="0.2">
      <c r="B484" s="146"/>
      <c r="C484" s="146"/>
      <c r="D484" s="146"/>
      <c r="E484" s="146"/>
      <c r="F484" s="146"/>
      <c r="G484" s="146"/>
      <c r="H484" s="146"/>
      <c r="I484" s="146"/>
      <c r="J484" s="146"/>
      <c r="K484" s="146"/>
      <c r="L484" s="146"/>
    </row>
    <row r="485" spans="2:12" x14ac:dyDescent="0.2">
      <c r="B485" s="146"/>
      <c r="C485" s="146"/>
      <c r="D485" s="146"/>
      <c r="E485" s="146"/>
      <c r="F485" s="146"/>
      <c r="G485" s="146"/>
      <c r="H485" s="146"/>
      <c r="I485" s="146"/>
      <c r="J485" s="146"/>
      <c r="K485" s="146"/>
      <c r="L485" s="146"/>
    </row>
    <row r="486" spans="2:12" x14ac:dyDescent="0.2">
      <c r="B486" s="146"/>
      <c r="C486" s="146"/>
      <c r="D486" s="146"/>
      <c r="E486" s="146"/>
      <c r="F486" s="146"/>
      <c r="G486" s="146"/>
      <c r="H486" s="146"/>
      <c r="I486" s="146"/>
      <c r="J486" s="146"/>
      <c r="K486" s="146"/>
      <c r="L486" s="146"/>
    </row>
    <row r="487" spans="2:12" x14ac:dyDescent="0.2">
      <c r="B487" s="146"/>
      <c r="C487" s="146"/>
      <c r="D487" s="146"/>
      <c r="E487" s="146"/>
      <c r="F487" s="146"/>
      <c r="G487" s="146"/>
      <c r="H487" s="146"/>
      <c r="I487" s="146"/>
      <c r="J487" s="146"/>
      <c r="K487" s="146"/>
      <c r="L487" s="146"/>
    </row>
    <row r="488" spans="2:12" x14ac:dyDescent="0.2">
      <c r="B488" s="146"/>
      <c r="C488" s="146"/>
      <c r="D488" s="146"/>
      <c r="E488" s="146"/>
      <c r="F488" s="146"/>
      <c r="G488" s="146"/>
      <c r="H488" s="146"/>
      <c r="I488" s="146"/>
      <c r="J488" s="146"/>
      <c r="K488" s="146"/>
      <c r="L488" s="146"/>
    </row>
    <row r="489" spans="2:12" x14ac:dyDescent="0.2">
      <c r="B489" s="146"/>
      <c r="C489" s="146"/>
      <c r="D489" s="146"/>
      <c r="E489" s="146"/>
      <c r="F489" s="146"/>
      <c r="G489" s="146"/>
      <c r="H489" s="146"/>
      <c r="I489" s="146"/>
      <c r="J489" s="146"/>
      <c r="K489" s="146"/>
      <c r="L489" s="146"/>
    </row>
    <row r="490" spans="2:12" x14ac:dyDescent="0.2">
      <c r="B490" s="146"/>
      <c r="C490" s="146"/>
      <c r="D490" s="146"/>
      <c r="E490" s="146"/>
      <c r="F490" s="146"/>
      <c r="G490" s="146"/>
      <c r="H490" s="146"/>
      <c r="I490" s="146"/>
      <c r="J490" s="146"/>
      <c r="K490" s="146"/>
      <c r="L490" s="146"/>
    </row>
    <row r="491" spans="2:12" x14ac:dyDescent="0.2">
      <c r="B491" s="146"/>
      <c r="C491" s="146"/>
      <c r="D491" s="146"/>
      <c r="E491" s="146"/>
      <c r="F491" s="146"/>
      <c r="G491" s="146"/>
      <c r="H491" s="146"/>
      <c r="I491" s="146"/>
      <c r="J491" s="146"/>
      <c r="K491" s="146"/>
      <c r="L491" s="146"/>
    </row>
    <row r="492" spans="2:12" x14ac:dyDescent="0.2">
      <c r="B492" s="146"/>
      <c r="C492" s="146"/>
      <c r="D492" s="146"/>
      <c r="E492" s="146"/>
      <c r="F492" s="146"/>
      <c r="G492" s="146"/>
      <c r="H492" s="146"/>
      <c r="I492" s="146"/>
      <c r="J492" s="146"/>
      <c r="K492" s="146"/>
      <c r="L492" s="146"/>
    </row>
    <row r="493" spans="2:12" x14ac:dyDescent="0.2">
      <c r="B493" s="146"/>
      <c r="C493" s="146"/>
      <c r="D493" s="146"/>
      <c r="E493" s="146"/>
      <c r="F493" s="146"/>
      <c r="G493" s="146"/>
      <c r="H493" s="146"/>
      <c r="I493" s="146"/>
      <c r="J493" s="146"/>
      <c r="K493" s="146"/>
      <c r="L493" s="146"/>
    </row>
    <row r="494" spans="2:12" x14ac:dyDescent="0.2">
      <c r="B494" s="146"/>
      <c r="C494" s="146"/>
      <c r="D494" s="146"/>
      <c r="E494" s="146"/>
      <c r="F494" s="146"/>
      <c r="G494" s="146"/>
      <c r="H494" s="146"/>
      <c r="I494" s="146"/>
      <c r="J494" s="146"/>
      <c r="K494" s="146"/>
      <c r="L494" s="146"/>
    </row>
    <row r="495" spans="2:12" x14ac:dyDescent="0.2">
      <c r="B495" s="146"/>
      <c r="C495" s="146"/>
      <c r="D495" s="146"/>
      <c r="E495" s="146"/>
      <c r="F495" s="146"/>
      <c r="G495" s="146"/>
      <c r="H495" s="146"/>
      <c r="I495" s="146"/>
      <c r="J495" s="146"/>
      <c r="K495" s="146"/>
      <c r="L495" s="146"/>
    </row>
    <row r="496" spans="2:12" x14ac:dyDescent="0.2">
      <c r="B496" s="146"/>
      <c r="C496" s="146"/>
      <c r="D496" s="146"/>
      <c r="E496" s="146"/>
      <c r="F496" s="146"/>
      <c r="G496" s="146"/>
      <c r="H496" s="146"/>
      <c r="I496" s="146"/>
      <c r="J496" s="146"/>
      <c r="K496" s="146"/>
      <c r="L496" s="146"/>
    </row>
    <row r="497" spans="2:12" x14ac:dyDescent="0.2">
      <c r="B497" s="146"/>
      <c r="C497" s="146"/>
      <c r="D497" s="146"/>
      <c r="E497" s="146"/>
      <c r="F497" s="146"/>
      <c r="G497" s="146"/>
      <c r="H497" s="146"/>
      <c r="I497" s="146"/>
      <c r="J497" s="146"/>
      <c r="K497" s="146"/>
      <c r="L497" s="146"/>
    </row>
    <row r="498" spans="2:12" x14ac:dyDescent="0.2">
      <c r="B498" s="146"/>
      <c r="C498" s="146"/>
      <c r="D498" s="146"/>
      <c r="E498" s="146"/>
      <c r="F498" s="146"/>
      <c r="G498" s="146"/>
      <c r="H498" s="146"/>
      <c r="I498" s="146"/>
      <c r="J498" s="146"/>
      <c r="K498" s="146"/>
      <c r="L498" s="146"/>
    </row>
    <row r="499" spans="2:12" x14ac:dyDescent="0.2">
      <c r="B499" s="146"/>
      <c r="C499" s="146"/>
      <c r="D499" s="146"/>
      <c r="E499" s="146"/>
      <c r="F499" s="146"/>
      <c r="G499" s="146"/>
      <c r="H499" s="146"/>
      <c r="I499" s="146"/>
      <c r="J499" s="146"/>
      <c r="K499" s="146"/>
      <c r="L499" s="146"/>
    </row>
    <row r="500" spans="2:12" x14ac:dyDescent="0.2">
      <c r="B500" s="146"/>
      <c r="C500" s="146"/>
      <c r="D500" s="146"/>
      <c r="E500" s="146"/>
      <c r="F500" s="146"/>
      <c r="G500" s="146"/>
      <c r="H500" s="146"/>
      <c r="I500" s="146"/>
      <c r="J500" s="146"/>
      <c r="K500" s="146"/>
      <c r="L500" s="146"/>
    </row>
    <row r="501" spans="2:12" x14ac:dyDescent="0.2">
      <c r="B501" s="146"/>
      <c r="C501" s="146"/>
      <c r="D501" s="146"/>
      <c r="E501" s="146"/>
      <c r="F501" s="146"/>
      <c r="G501" s="146"/>
      <c r="H501" s="146"/>
      <c r="I501" s="146"/>
      <c r="J501" s="146"/>
      <c r="K501" s="146"/>
      <c r="L501" s="146"/>
    </row>
    <row r="502" spans="2:12" x14ac:dyDescent="0.2">
      <c r="B502" s="146"/>
      <c r="C502" s="146"/>
      <c r="D502" s="146"/>
      <c r="E502" s="146"/>
      <c r="F502" s="146"/>
      <c r="G502" s="146"/>
      <c r="H502" s="146"/>
      <c r="I502" s="146"/>
      <c r="J502" s="146"/>
      <c r="K502" s="146"/>
      <c r="L502" s="146"/>
    </row>
    <row r="503" spans="2:12" x14ac:dyDescent="0.2">
      <c r="B503" s="146"/>
      <c r="C503" s="146"/>
      <c r="D503" s="146"/>
      <c r="E503" s="146"/>
      <c r="F503" s="146"/>
      <c r="G503" s="146"/>
      <c r="H503" s="146"/>
      <c r="I503" s="146"/>
      <c r="J503" s="146"/>
      <c r="K503" s="146"/>
      <c r="L503" s="146"/>
    </row>
    <row r="504" spans="2:12" x14ac:dyDescent="0.2">
      <c r="B504" s="146"/>
      <c r="C504" s="146"/>
      <c r="D504" s="146"/>
      <c r="E504" s="146"/>
      <c r="F504" s="146"/>
      <c r="G504" s="146"/>
      <c r="H504" s="146"/>
      <c r="I504" s="146"/>
      <c r="J504" s="146"/>
      <c r="K504" s="146"/>
      <c r="L504" s="146"/>
    </row>
    <row r="505" spans="2:12" x14ac:dyDescent="0.2">
      <c r="B505" s="146"/>
      <c r="C505" s="146"/>
      <c r="D505" s="146"/>
      <c r="E505" s="146"/>
      <c r="F505" s="146"/>
      <c r="G505" s="146"/>
      <c r="H505" s="146"/>
      <c r="I505" s="146"/>
      <c r="J505" s="146"/>
      <c r="K505" s="146"/>
      <c r="L505" s="146"/>
    </row>
    <row r="506" spans="2:12" x14ac:dyDescent="0.2">
      <c r="B506" s="146"/>
      <c r="C506" s="146"/>
      <c r="D506" s="146"/>
      <c r="E506" s="146"/>
      <c r="F506" s="146"/>
      <c r="G506" s="146"/>
      <c r="H506" s="146"/>
      <c r="I506" s="146"/>
      <c r="J506" s="146"/>
      <c r="K506" s="146"/>
      <c r="L506" s="146"/>
    </row>
    <row r="507" spans="2:12" x14ac:dyDescent="0.2">
      <c r="B507" s="146"/>
      <c r="C507" s="146"/>
      <c r="D507" s="146"/>
      <c r="E507" s="146"/>
      <c r="F507" s="146"/>
      <c r="G507" s="146"/>
      <c r="H507" s="146"/>
      <c r="I507" s="146"/>
      <c r="J507" s="146"/>
      <c r="K507" s="146"/>
      <c r="L507" s="146"/>
    </row>
    <row r="508" spans="2:12" x14ac:dyDescent="0.2">
      <c r="B508" s="146"/>
      <c r="C508" s="146"/>
      <c r="D508" s="146"/>
      <c r="E508" s="146"/>
      <c r="F508" s="146"/>
      <c r="G508" s="146"/>
      <c r="H508" s="146"/>
      <c r="I508" s="146"/>
      <c r="J508" s="146"/>
      <c r="K508" s="146"/>
      <c r="L508" s="146"/>
    </row>
    <row r="509" spans="2:12" x14ac:dyDescent="0.2">
      <c r="B509" s="146"/>
      <c r="C509" s="146"/>
      <c r="D509" s="146"/>
      <c r="E509" s="146"/>
      <c r="F509" s="146"/>
      <c r="G509" s="146"/>
      <c r="H509" s="146"/>
      <c r="I509" s="146"/>
      <c r="J509" s="146"/>
      <c r="K509" s="146"/>
      <c r="L509" s="146"/>
    </row>
    <row r="510" spans="2:12" x14ac:dyDescent="0.2">
      <c r="B510" s="146"/>
      <c r="C510" s="146"/>
      <c r="D510" s="146"/>
      <c r="E510" s="146"/>
      <c r="F510" s="146"/>
      <c r="G510" s="146"/>
      <c r="H510" s="146"/>
      <c r="I510" s="146"/>
      <c r="J510" s="146"/>
      <c r="K510" s="146"/>
      <c r="L510" s="146"/>
    </row>
    <row r="511" spans="2:12" x14ac:dyDescent="0.2">
      <c r="B511" s="146"/>
      <c r="C511" s="146"/>
      <c r="D511" s="146"/>
      <c r="E511" s="146"/>
      <c r="F511" s="146"/>
      <c r="G511" s="146"/>
      <c r="H511" s="146"/>
      <c r="I511" s="146"/>
      <c r="J511" s="146"/>
      <c r="K511" s="146"/>
      <c r="L511" s="146"/>
    </row>
    <row r="512" spans="2:12" x14ac:dyDescent="0.2">
      <c r="B512" s="146"/>
      <c r="C512" s="146"/>
      <c r="D512" s="146"/>
      <c r="E512" s="146"/>
      <c r="F512" s="146"/>
      <c r="G512" s="146"/>
      <c r="H512" s="146"/>
      <c r="I512" s="146"/>
      <c r="J512" s="146"/>
      <c r="K512" s="146"/>
      <c r="L512" s="146"/>
    </row>
    <row r="513" spans="2:12" x14ac:dyDescent="0.2">
      <c r="B513" s="146"/>
      <c r="C513" s="146"/>
      <c r="D513" s="146"/>
      <c r="E513" s="146"/>
      <c r="F513" s="146"/>
      <c r="G513" s="146"/>
      <c r="H513" s="146"/>
      <c r="I513" s="146"/>
      <c r="J513" s="146"/>
      <c r="K513" s="146"/>
      <c r="L513" s="146"/>
    </row>
    <row r="514" spans="2:12" x14ac:dyDescent="0.2">
      <c r="B514" s="146"/>
      <c r="C514" s="146"/>
      <c r="D514" s="146"/>
      <c r="E514" s="146"/>
      <c r="F514" s="146"/>
      <c r="G514" s="146"/>
      <c r="H514" s="146"/>
      <c r="I514" s="146"/>
      <c r="J514" s="146"/>
      <c r="K514" s="146"/>
      <c r="L514" s="146"/>
    </row>
    <row r="515" spans="2:12" x14ac:dyDescent="0.2">
      <c r="B515" s="146"/>
      <c r="C515" s="146"/>
      <c r="D515" s="146"/>
      <c r="E515" s="146"/>
      <c r="F515" s="146"/>
      <c r="G515" s="146"/>
      <c r="H515" s="146"/>
      <c r="I515" s="146"/>
      <c r="J515" s="146"/>
      <c r="K515" s="146"/>
      <c r="L515" s="146"/>
    </row>
    <row r="516" spans="2:12" x14ac:dyDescent="0.2">
      <c r="B516" s="146"/>
      <c r="C516" s="146"/>
      <c r="D516" s="146"/>
      <c r="E516" s="146"/>
      <c r="F516" s="146"/>
      <c r="G516" s="146"/>
      <c r="H516" s="146"/>
      <c r="I516" s="146"/>
      <c r="J516" s="146"/>
      <c r="K516" s="146"/>
      <c r="L516" s="146"/>
    </row>
    <row r="517" spans="2:12" x14ac:dyDescent="0.2">
      <c r="B517" s="146"/>
      <c r="C517" s="146"/>
      <c r="D517" s="146"/>
      <c r="E517" s="146"/>
      <c r="F517" s="146"/>
      <c r="G517" s="146"/>
      <c r="H517" s="146"/>
      <c r="I517" s="146"/>
      <c r="J517" s="146"/>
      <c r="K517" s="146"/>
      <c r="L517" s="146"/>
    </row>
    <row r="518" spans="2:12" x14ac:dyDescent="0.2">
      <c r="B518" s="146"/>
      <c r="C518" s="146"/>
      <c r="D518" s="146"/>
      <c r="E518" s="146"/>
      <c r="F518" s="146"/>
      <c r="G518" s="146"/>
      <c r="H518" s="146"/>
      <c r="I518" s="146"/>
      <c r="J518" s="146"/>
      <c r="K518" s="146"/>
      <c r="L518" s="146"/>
    </row>
    <row r="519" spans="2:12" x14ac:dyDescent="0.2">
      <c r="B519" s="146"/>
      <c r="C519" s="146"/>
      <c r="D519" s="146"/>
      <c r="E519" s="146"/>
      <c r="F519" s="146"/>
      <c r="G519" s="146"/>
      <c r="H519" s="146"/>
      <c r="I519" s="146"/>
      <c r="J519" s="146"/>
      <c r="K519" s="146"/>
      <c r="L519" s="146"/>
    </row>
    <row r="520" spans="2:12" x14ac:dyDescent="0.2">
      <c r="B520" s="146"/>
      <c r="C520" s="146"/>
      <c r="D520" s="146"/>
      <c r="E520" s="146"/>
      <c r="F520" s="146"/>
      <c r="G520" s="146"/>
      <c r="H520" s="146"/>
      <c r="I520" s="146"/>
      <c r="J520" s="146"/>
      <c r="K520" s="146"/>
      <c r="L520" s="146"/>
    </row>
    <row r="521" spans="2:12" x14ac:dyDescent="0.2">
      <c r="B521" s="146"/>
      <c r="C521" s="146"/>
      <c r="D521" s="146"/>
      <c r="E521" s="146"/>
      <c r="F521" s="146"/>
      <c r="G521" s="146"/>
      <c r="H521" s="146"/>
      <c r="I521" s="146"/>
      <c r="J521" s="146"/>
      <c r="K521" s="146"/>
      <c r="L521" s="146"/>
    </row>
    <row r="522" spans="2:12" x14ac:dyDescent="0.2">
      <c r="B522" s="146"/>
      <c r="C522" s="146"/>
      <c r="D522" s="146"/>
      <c r="E522" s="146"/>
      <c r="F522" s="146"/>
      <c r="G522" s="146"/>
      <c r="H522" s="146"/>
      <c r="I522" s="146"/>
      <c r="J522" s="146"/>
      <c r="K522" s="146"/>
      <c r="L522" s="146"/>
    </row>
    <row r="523" spans="2:12" x14ac:dyDescent="0.2">
      <c r="B523" s="146"/>
      <c r="C523" s="146"/>
      <c r="D523" s="146"/>
      <c r="E523" s="146"/>
      <c r="F523" s="146"/>
      <c r="G523" s="146"/>
      <c r="H523" s="146"/>
      <c r="I523" s="146"/>
      <c r="J523" s="146"/>
      <c r="K523" s="146"/>
      <c r="L523" s="146"/>
    </row>
    <row r="524" spans="2:12" x14ac:dyDescent="0.2">
      <c r="B524" s="146"/>
      <c r="C524" s="146"/>
      <c r="D524" s="146"/>
      <c r="E524" s="146"/>
      <c r="F524" s="146"/>
      <c r="G524" s="146"/>
      <c r="H524" s="146"/>
      <c r="I524" s="146"/>
      <c r="J524" s="146"/>
      <c r="K524" s="146"/>
      <c r="L524" s="146"/>
    </row>
    <row r="525" spans="2:12" x14ac:dyDescent="0.2">
      <c r="B525" s="146"/>
      <c r="C525" s="146"/>
      <c r="D525" s="146"/>
      <c r="E525" s="146"/>
      <c r="F525" s="146"/>
      <c r="G525" s="146"/>
      <c r="H525" s="146"/>
      <c r="I525" s="146"/>
      <c r="J525" s="146"/>
      <c r="K525" s="146"/>
      <c r="L525" s="146"/>
    </row>
    <row r="526" spans="2:12" x14ac:dyDescent="0.2">
      <c r="B526" s="146"/>
      <c r="C526" s="146"/>
      <c r="D526" s="146"/>
      <c r="E526" s="146"/>
      <c r="F526" s="146"/>
      <c r="G526" s="146"/>
      <c r="H526" s="146"/>
      <c r="I526" s="146"/>
      <c r="J526" s="146"/>
      <c r="K526" s="146"/>
      <c r="L526" s="146"/>
    </row>
    <row r="527" spans="2:12" x14ac:dyDescent="0.2">
      <c r="B527" s="146"/>
      <c r="C527" s="146"/>
      <c r="D527" s="146"/>
      <c r="E527" s="146"/>
      <c r="F527" s="146"/>
      <c r="G527" s="146"/>
      <c r="H527" s="146"/>
      <c r="I527" s="146"/>
      <c r="J527" s="146"/>
      <c r="K527" s="146"/>
      <c r="L527" s="146"/>
    </row>
    <row r="528" spans="2:12" x14ac:dyDescent="0.2">
      <c r="B528" s="146"/>
      <c r="C528" s="146"/>
      <c r="D528" s="146"/>
      <c r="E528" s="146"/>
      <c r="F528" s="146"/>
      <c r="G528" s="146"/>
      <c r="H528" s="146"/>
      <c r="I528" s="146"/>
      <c r="J528" s="146"/>
      <c r="K528" s="146"/>
      <c r="L528" s="146"/>
    </row>
    <row r="529" spans="2:12" x14ac:dyDescent="0.2">
      <c r="B529" s="146"/>
      <c r="C529" s="146"/>
      <c r="D529" s="146"/>
      <c r="E529" s="146"/>
      <c r="F529" s="146"/>
      <c r="G529" s="146"/>
      <c r="H529" s="146"/>
      <c r="I529" s="146"/>
      <c r="J529" s="146"/>
      <c r="K529" s="146"/>
      <c r="L529" s="146"/>
    </row>
    <row r="530" spans="2:12" x14ac:dyDescent="0.2">
      <c r="B530" s="146"/>
      <c r="C530" s="146"/>
      <c r="D530" s="146"/>
      <c r="E530" s="146"/>
      <c r="F530" s="146"/>
      <c r="G530" s="146"/>
      <c r="H530" s="146"/>
      <c r="I530" s="146"/>
      <c r="J530" s="146"/>
      <c r="K530" s="146"/>
      <c r="L530" s="146"/>
    </row>
    <row r="531" spans="2:12" x14ac:dyDescent="0.2">
      <c r="B531" s="146"/>
      <c r="C531" s="146"/>
      <c r="D531" s="146"/>
      <c r="E531" s="146"/>
      <c r="F531" s="146"/>
      <c r="G531" s="146"/>
      <c r="H531" s="146"/>
      <c r="I531" s="146"/>
      <c r="J531" s="146"/>
      <c r="K531" s="146"/>
      <c r="L531" s="146"/>
    </row>
    <row r="532" spans="2:12" x14ac:dyDescent="0.2">
      <c r="B532" s="146"/>
      <c r="C532" s="146"/>
      <c r="D532" s="146"/>
      <c r="E532" s="146"/>
      <c r="F532" s="146"/>
      <c r="G532" s="146"/>
      <c r="H532" s="146"/>
      <c r="I532" s="146"/>
      <c r="J532" s="146"/>
      <c r="K532" s="146"/>
      <c r="L532" s="146"/>
    </row>
    <row r="533" spans="2:12" x14ac:dyDescent="0.2">
      <c r="B533" s="146"/>
      <c r="C533" s="146"/>
      <c r="D533" s="146"/>
      <c r="E533" s="146"/>
      <c r="F533" s="146"/>
      <c r="G533" s="146"/>
      <c r="H533" s="146"/>
      <c r="I533" s="146"/>
      <c r="J533" s="146"/>
      <c r="K533" s="146"/>
      <c r="L533" s="146"/>
    </row>
    <row r="534" spans="2:12" x14ac:dyDescent="0.2">
      <c r="B534" s="146"/>
      <c r="C534" s="146"/>
      <c r="D534" s="146"/>
      <c r="E534" s="146"/>
      <c r="F534" s="146"/>
      <c r="G534" s="146"/>
      <c r="H534" s="146"/>
      <c r="I534" s="146"/>
      <c r="J534" s="146"/>
      <c r="K534" s="146"/>
      <c r="L534" s="146"/>
    </row>
    <row r="535" spans="2:12" x14ac:dyDescent="0.2">
      <c r="B535" s="146"/>
      <c r="C535" s="146"/>
      <c r="D535" s="146"/>
      <c r="E535" s="146"/>
      <c r="F535" s="146"/>
      <c r="G535" s="146"/>
      <c r="H535" s="146"/>
      <c r="I535" s="146"/>
      <c r="J535" s="146"/>
      <c r="K535" s="146"/>
      <c r="L535" s="146"/>
    </row>
    <row r="536" spans="2:12" x14ac:dyDescent="0.2">
      <c r="B536" s="146"/>
      <c r="C536" s="146"/>
      <c r="D536" s="146"/>
      <c r="E536" s="146"/>
      <c r="F536" s="146"/>
      <c r="G536" s="146"/>
      <c r="H536" s="146"/>
      <c r="I536" s="146"/>
      <c r="J536" s="146"/>
      <c r="K536" s="146"/>
      <c r="L536" s="146"/>
    </row>
    <row r="537" spans="2:12" x14ac:dyDescent="0.2">
      <c r="B537" s="146"/>
      <c r="C537" s="146"/>
      <c r="D537" s="146"/>
      <c r="E537" s="146"/>
      <c r="F537" s="146"/>
      <c r="G537" s="146"/>
      <c r="H537" s="146"/>
      <c r="I537" s="146"/>
      <c r="J537" s="146"/>
      <c r="K537" s="146"/>
      <c r="L537" s="146"/>
    </row>
    <row r="538" spans="2:12" x14ac:dyDescent="0.2">
      <c r="B538" s="146"/>
      <c r="C538" s="146"/>
      <c r="D538" s="146"/>
      <c r="E538" s="146"/>
      <c r="F538" s="146"/>
      <c r="G538" s="146"/>
      <c r="H538" s="146"/>
      <c r="I538" s="146"/>
      <c r="J538" s="146"/>
      <c r="K538" s="146"/>
      <c r="L538" s="146"/>
    </row>
    <row r="539" spans="2:12" x14ac:dyDescent="0.2">
      <c r="B539" s="146"/>
      <c r="C539" s="146"/>
      <c r="D539" s="146"/>
      <c r="E539" s="146"/>
      <c r="F539" s="146"/>
      <c r="G539" s="146"/>
      <c r="H539" s="146"/>
      <c r="I539" s="146"/>
      <c r="J539" s="146"/>
      <c r="K539" s="146"/>
      <c r="L539" s="146"/>
    </row>
    <row r="540" spans="2:12" x14ac:dyDescent="0.2">
      <c r="B540" s="146"/>
      <c r="C540" s="146"/>
      <c r="D540" s="146"/>
      <c r="E540" s="146"/>
      <c r="F540" s="146"/>
      <c r="G540" s="146"/>
      <c r="H540" s="146"/>
      <c r="I540" s="146"/>
      <c r="J540" s="146"/>
      <c r="K540" s="146"/>
      <c r="L540" s="146"/>
    </row>
    <row r="541" spans="2:12" x14ac:dyDescent="0.2">
      <c r="B541" s="146"/>
      <c r="C541" s="146"/>
      <c r="D541" s="146"/>
      <c r="E541" s="146"/>
      <c r="F541" s="146"/>
      <c r="G541" s="146"/>
      <c r="H541" s="146"/>
      <c r="I541" s="146"/>
      <c r="J541" s="146"/>
      <c r="K541" s="146"/>
      <c r="L541" s="146"/>
    </row>
    <row r="542" spans="2:12" x14ac:dyDescent="0.2">
      <c r="B542" s="146"/>
      <c r="C542" s="146"/>
      <c r="D542" s="146"/>
      <c r="E542" s="146"/>
      <c r="F542" s="146"/>
      <c r="G542" s="146"/>
      <c r="H542" s="146"/>
      <c r="I542" s="146"/>
      <c r="J542" s="146"/>
      <c r="K542" s="146"/>
      <c r="L542" s="146"/>
    </row>
    <row r="543" spans="2:12" x14ac:dyDescent="0.2">
      <c r="B543" s="146"/>
      <c r="C543" s="146"/>
      <c r="D543" s="146"/>
      <c r="E543" s="146"/>
      <c r="F543" s="146"/>
      <c r="G543" s="146"/>
      <c r="H543" s="146"/>
      <c r="I543" s="146"/>
      <c r="J543" s="146"/>
      <c r="K543" s="146"/>
      <c r="L543" s="146"/>
    </row>
    <row r="544" spans="2:12" x14ac:dyDescent="0.2">
      <c r="B544" s="146"/>
      <c r="C544" s="146"/>
      <c r="D544" s="146"/>
      <c r="E544" s="146"/>
      <c r="F544" s="146"/>
      <c r="G544" s="146"/>
      <c r="H544" s="146"/>
      <c r="I544" s="146"/>
      <c r="J544" s="146"/>
      <c r="K544" s="146"/>
      <c r="L544" s="146"/>
    </row>
    <row r="545" spans="2:12" x14ac:dyDescent="0.2">
      <c r="B545" s="146"/>
      <c r="C545" s="146"/>
      <c r="D545" s="146"/>
      <c r="E545" s="146"/>
      <c r="F545" s="146"/>
      <c r="G545" s="146"/>
      <c r="H545" s="146"/>
      <c r="I545" s="146"/>
      <c r="J545" s="146"/>
      <c r="K545" s="146"/>
      <c r="L545" s="146"/>
    </row>
    <row r="546" spans="2:12" x14ac:dyDescent="0.2">
      <c r="B546" s="146"/>
      <c r="C546" s="146"/>
      <c r="D546" s="146"/>
      <c r="E546" s="146"/>
      <c r="F546" s="146"/>
      <c r="G546" s="146"/>
      <c r="H546" s="146"/>
      <c r="I546" s="146"/>
      <c r="J546" s="146"/>
      <c r="K546" s="146"/>
      <c r="L546" s="146"/>
    </row>
    <row r="547" spans="2:12" x14ac:dyDescent="0.2">
      <c r="B547" s="146"/>
      <c r="C547" s="146"/>
      <c r="D547" s="146"/>
      <c r="E547" s="146"/>
      <c r="F547" s="146"/>
      <c r="G547" s="146"/>
      <c r="H547" s="146"/>
      <c r="I547" s="146"/>
      <c r="J547" s="146"/>
      <c r="K547" s="146"/>
      <c r="L547" s="146"/>
    </row>
    <row r="548" spans="2:12" x14ac:dyDescent="0.2">
      <c r="B548" s="146"/>
      <c r="C548" s="146"/>
      <c r="D548" s="146"/>
      <c r="E548" s="146"/>
      <c r="F548" s="146"/>
      <c r="G548" s="146"/>
      <c r="H548" s="146"/>
      <c r="I548" s="146"/>
      <c r="J548" s="146"/>
      <c r="K548" s="146"/>
      <c r="L548" s="146"/>
    </row>
    <row r="549" spans="2:12" x14ac:dyDescent="0.2">
      <c r="B549" s="146"/>
      <c r="C549" s="146"/>
      <c r="D549" s="146"/>
      <c r="E549" s="146"/>
      <c r="F549" s="146"/>
      <c r="G549" s="146"/>
      <c r="H549" s="146"/>
      <c r="I549" s="146"/>
      <c r="J549" s="146"/>
      <c r="K549" s="146"/>
      <c r="L549" s="146"/>
    </row>
    <row r="550" spans="2:12" x14ac:dyDescent="0.2">
      <c r="B550" s="146"/>
      <c r="C550" s="146"/>
      <c r="D550" s="146"/>
      <c r="E550" s="146"/>
      <c r="F550" s="146"/>
      <c r="G550" s="146"/>
      <c r="H550" s="146"/>
      <c r="I550" s="146"/>
      <c r="J550" s="146"/>
      <c r="K550" s="146"/>
      <c r="L550" s="146"/>
    </row>
    <row r="551" spans="2:12" x14ac:dyDescent="0.2">
      <c r="B551" s="146"/>
      <c r="C551" s="146"/>
      <c r="D551" s="146"/>
      <c r="E551" s="146"/>
      <c r="F551" s="146"/>
      <c r="G551" s="146"/>
      <c r="H551" s="146"/>
      <c r="I551" s="146"/>
      <c r="J551" s="146"/>
      <c r="K551" s="146"/>
      <c r="L551" s="146"/>
    </row>
    <row r="552" spans="2:12" x14ac:dyDescent="0.2">
      <c r="B552" s="146"/>
      <c r="C552" s="146"/>
      <c r="D552" s="146"/>
      <c r="E552" s="146"/>
      <c r="F552" s="146"/>
      <c r="G552" s="146"/>
      <c r="H552" s="146"/>
      <c r="I552" s="146"/>
      <c r="J552" s="146"/>
      <c r="K552" s="146"/>
      <c r="L552" s="146"/>
    </row>
    <row r="553" spans="2:12" x14ac:dyDescent="0.2">
      <c r="B553" s="146"/>
      <c r="C553" s="146"/>
      <c r="D553" s="146"/>
      <c r="E553" s="146"/>
      <c r="F553" s="146"/>
      <c r="G553" s="146"/>
      <c r="H553" s="146"/>
      <c r="I553" s="146"/>
      <c r="J553" s="146"/>
      <c r="K553" s="146"/>
      <c r="L553" s="146"/>
    </row>
    <row r="554" spans="2:12" x14ac:dyDescent="0.2">
      <c r="B554" s="146"/>
      <c r="C554" s="146"/>
      <c r="D554" s="146"/>
      <c r="E554" s="146"/>
      <c r="F554" s="146"/>
      <c r="G554" s="146"/>
      <c r="H554" s="146"/>
      <c r="I554" s="146"/>
      <c r="J554" s="146"/>
      <c r="K554" s="146"/>
      <c r="L554" s="146"/>
    </row>
    <row r="555" spans="2:12" x14ac:dyDescent="0.2">
      <c r="B555" s="146"/>
      <c r="C555" s="146"/>
      <c r="D555" s="146"/>
      <c r="E555" s="146"/>
      <c r="F555" s="146"/>
      <c r="G555" s="146"/>
      <c r="H555" s="146"/>
      <c r="I555" s="146"/>
      <c r="J555" s="146"/>
      <c r="K555" s="146"/>
      <c r="L555" s="146"/>
    </row>
    <row r="556" spans="2:12" x14ac:dyDescent="0.2">
      <c r="B556" s="146"/>
      <c r="C556" s="146"/>
      <c r="D556" s="146"/>
      <c r="E556" s="146"/>
      <c r="F556" s="146"/>
      <c r="G556" s="146"/>
      <c r="H556" s="146"/>
      <c r="I556" s="146"/>
      <c r="J556" s="146"/>
      <c r="K556" s="146"/>
      <c r="L556" s="146"/>
    </row>
    <row r="557" spans="2:12" x14ac:dyDescent="0.2">
      <c r="B557" s="146"/>
      <c r="C557" s="146"/>
      <c r="D557" s="146"/>
      <c r="E557" s="146"/>
      <c r="F557" s="146"/>
      <c r="G557" s="146"/>
      <c r="H557" s="146"/>
      <c r="I557" s="146"/>
      <c r="J557" s="146"/>
      <c r="K557" s="146"/>
      <c r="L557" s="146"/>
    </row>
    <row r="558" spans="2:12" x14ac:dyDescent="0.2">
      <c r="B558" s="146"/>
      <c r="C558" s="146"/>
      <c r="D558" s="146"/>
      <c r="E558" s="146"/>
      <c r="F558" s="146"/>
      <c r="G558" s="146"/>
      <c r="H558" s="146"/>
      <c r="I558" s="146"/>
      <c r="J558" s="146"/>
      <c r="K558" s="146"/>
      <c r="L558" s="146"/>
    </row>
    <row r="559" spans="2:12" x14ac:dyDescent="0.2">
      <c r="B559" s="146"/>
      <c r="C559" s="146"/>
      <c r="D559" s="146"/>
      <c r="E559" s="146"/>
      <c r="F559" s="146"/>
      <c r="G559" s="146"/>
      <c r="H559" s="146"/>
      <c r="I559" s="146"/>
      <c r="J559" s="146"/>
      <c r="K559" s="146"/>
      <c r="L559" s="146"/>
    </row>
    <row r="560" spans="2:12" x14ac:dyDescent="0.2">
      <c r="B560" s="146"/>
      <c r="C560" s="146"/>
      <c r="D560" s="146"/>
      <c r="E560" s="146"/>
      <c r="F560" s="146"/>
      <c r="G560" s="146"/>
      <c r="H560" s="146"/>
      <c r="I560" s="146"/>
      <c r="J560" s="146"/>
      <c r="K560" s="146"/>
      <c r="L560" s="146"/>
    </row>
    <row r="561" spans="2:12" x14ac:dyDescent="0.2">
      <c r="B561" s="146"/>
      <c r="C561" s="146"/>
      <c r="D561" s="146"/>
      <c r="E561" s="146"/>
      <c r="F561" s="146"/>
      <c r="G561" s="146"/>
      <c r="H561" s="146"/>
      <c r="I561" s="146"/>
      <c r="J561" s="146"/>
      <c r="K561" s="146"/>
      <c r="L561" s="146"/>
    </row>
    <row r="562" spans="2:12" x14ac:dyDescent="0.2">
      <c r="B562" s="146"/>
      <c r="C562" s="146"/>
      <c r="D562" s="146"/>
      <c r="E562" s="146"/>
      <c r="F562" s="146"/>
      <c r="G562" s="146"/>
      <c r="H562" s="146"/>
      <c r="I562" s="146"/>
      <c r="J562" s="146"/>
      <c r="K562" s="146"/>
      <c r="L562" s="146"/>
    </row>
    <row r="563" spans="2:12" x14ac:dyDescent="0.2">
      <c r="B563" s="146"/>
      <c r="C563" s="146"/>
      <c r="D563" s="146"/>
      <c r="E563" s="146"/>
      <c r="F563" s="146"/>
      <c r="G563" s="146"/>
      <c r="H563" s="146"/>
      <c r="I563" s="146"/>
      <c r="J563" s="146"/>
      <c r="K563" s="146"/>
      <c r="L563" s="146"/>
    </row>
    <row r="564" spans="2:12" x14ac:dyDescent="0.2">
      <c r="B564" s="146"/>
      <c r="C564" s="146"/>
      <c r="D564" s="146"/>
      <c r="E564" s="146"/>
      <c r="F564" s="146"/>
      <c r="G564" s="146"/>
      <c r="H564" s="146"/>
      <c r="I564" s="146"/>
      <c r="J564" s="146"/>
      <c r="K564" s="146"/>
      <c r="L564" s="146"/>
    </row>
    <row r="565" spans="2:12" x14ac:dyDescent="0.2">
      <c r="B565" s="146"/>
      <c r="C565" s="146"/>
      <c r="D565" s="146"/>
      <c r="E565" s="146"/>
      <c r="F565" s="146"/>
      <c r="G565" s="146"/>
      <c r="H565" s="146"/>
      <c r="I565" s="146"/>
      <c r="J565" s="146"/>
      <c r="K565" s="146"/>
      <c r="L565" s="146"/>
    </row>
    <row r="566" spans="2:12" x14ac:dyDescent="0.2">
      <c r="B566" s="146"/>
      <c r="C566" s="146"/>
      <c r="D566" s="146"/>
      <c r="E566" s="146"/>
      <c r="F566" s="146"/>
      <c r="G566" s="146"/>
      <c r="H566" s="146"/>
      <c r="I566" s="146"/>
      <c r="J566" s="146"/>
      <c r="K566" s="146"/>
      <c r="L566" s="146"/>
    </row>
    <row r="567" spans="2:12" x14ac:dyDescent="0.2">
      <c r="B567" s="146"/>
      <c r="C567" s="146"/>
      <c r="D567" s="146"/>
      <c r="E567" s="146"/>
      <c r="F567" s="146"/>
      <c r="G567" s="146"/>
      <c r="H567" s="146"/>
      <c r="I567" s="146"/>
      <c r="J567" s="146"/>
      <c r="K567" s="146"/>
      <c r="L567" s="146"/>
    </row>
    <row r="568" spans="2:12" x14ac:dyDescent="0.2">
      <c r="B568" s="146"/>
      <c r="C568" s="146"/>
      <c r="D568" s="146"/>
      <c r="E568" s="146"/>
      <c r="F568" s="146"/>
      <c r="G568" s="146"/>
      <c r="H568" s="146"/>
      <c r="I568" s="146"/>
      <c r="J568" s="146"/>
      <c r="K568" s="146"/>
      <c r="L568" s="146"/>
    </row>
    <row r="569" spans="2:12" x14ac:dyDescent="0.2">
      <c r="B569" s="146"/>
      <c r="C569" s="146"/>
      <c r="D569" s="146"/>
      <c r="E569" s="146"/>
      <c r="F569" s="146"/>
      <c r="G569" s="146"/>
      <c r="H569" s="146"/>
      <c r="I569" s="146"/>
      <c r="J569" s="146"/>
      <c r="K569" s="146"/>
      <c r="L569" s="146"/>
    </row>
    <row r="570" spans="2:12" x14ac:dyDescent="0.2">
      <c r="B570" s="146"/>
      <c r="C570" s="146"/>
      <c r="D570" s="146"/>
      <c r="E570" s="146"/>
      <c r="F570" s="146"/>
      <c r="G570" s="146"/>
      <c r="H570" s="146"/>
      <c r="I570" s="146"/>
      <c r="J570" s="146"/>
      <c r="K570" s="146"/>
      <c r="L570" s="146"/>
    </row>
    <row r="571" spans="2:12" x14ac:dyDescent="0.2">
      <c r="B571" s="146"/>
      <c r="C571" s="146"/>
      <c r="D571" s="146"/>
      <c r="E571" s="146"/>
      <c r="F571" s="146"/>
      <c r="G571" s="146"/>
      <c r="H571" s="146"/>
      <c r="I571" s="146"/>
      <c r="J571" s="146"/>
      <c r="K571" s="146"/>
      <c r="L571" s="146"/>
    </row>
    <row r="572" spans="2:12" x14ac:dyDescent="0.2">
      <c r="B572" s="146"/>
      <c r="C572" s="146"/>
      <c r="D572" s="146"/>
      <c r="E572" s="146"/>
      <c r="F572" s="146"/>
      <c r="G572" s="146"/>
      <c r="H572" s="146"/>
      <c r="I572" s="146"/>
      <c r="J572" s="146"/>
      <c r="K572" s="146"/>
      <c r="L572" s="146"/>
    </row>
    <row r="573" spans="2:12" x14ac:dyDescent="0.2">
      <c r="B573" s="146"/>
      <c r="C573" s="146"/>
      <c r="D573" s="146"/>
      <c r="E573" s="146"/>
      <c r="F573" s="146"/>
      <c r="G573" s="146"/>
      <c r="H573" s="146"/>
      <c r="I573" s="146"/>
      <c r="J573" s="146"/>
      <c r="K573" s="146"/>
      <c r="L573" s="146"/>
    </row>
    <row r="574" spans="2:12" x14ac:dyDescent="0.2">
      <c r="B574" s="146"/>
      <c r="C574" s="146"/>
      <c r="D574" s="146"/>
      <c r="E574" s="146"/>
      <c r="F574" s="146"/>
      <c r="G574" s="146"/>
      <c r="H574" s="146"/>
      <c r="I574" s="146"/>
      <c r="J574" s="146"/>
      <c r="K574" s="146"/>
      <c r="L574" s="146"/>
    </row>
    <row r="575" spans="2:12" x14ac:dyDescent="0.2">
      <c r="B575" s="146"/>
      <c r="C575" s="146"/>
      <c r="D575" s="146"/>
      <c r="E575" s="146"/>
      <c r="F575" s="146"/>
      <c r="G575" s="146"/>
      <c r="H575" s="146"/>
      <c r="I575" s="146"/>
      <c r="J575" s="146"/>
      <c r="K575" s="146"/>
      <c r="L575" s="146"/>
    </row>
    <row r="576" spans="2:12" x14ac:dyDescent="0.2">
      <c r="B576" s="146"/>
      <c r="C576" s="146"/>
      <c r="D576" s="146"/>
      <c r="E576" s="146"/>
      <c r="F576" s="146"/>
      <c r="G576" s="146"/>
      <c r="H576" s="146"/>
      <c r="I576" s="146"/>
      <c r="J576" s="146"/>
      <c r="K576" s="146"/>
      <c r="L576" s="146"/>
    </row>
    <row r="577" spans="2:12" x14ac:dyDescent="0.2">
      <c r="B577" s="146"/>
      <c r="C577" s="146"/>
      <c r="D577" s="146"/>
      <c r="E577" s="146"/>
      <c r="F577" s="146"/>
      <c r="G577" s="146"/>
      <c r="H577" s="146"/>
      <c r="I577" s="146"/>
      <c r="J577" s="146"/>
      <c r="K577" s="146"/>
      <c r="L577" s="146"/>
    </row>
    <row r="578" spans="2:12" x14ac:dyDescent="0.2">
      <c r="B578" s="146"/>
      <c r="C578" s="146"/>
      <c r="D578" s="146"/>
      <c r="E578" s="146"/>
      <c r="F578" s="146"/>
      <c r="G578" s="146"/>
      <c r="H578" s="146"/>
      <c r="I578" s="146"/>
      <c r="J578" s="146"/>
      <c r="K578" s="146"/>
      <c r="L578" s="146"/>
    </row>
    <row r="579" spans="2:12" x14ac:dyDescent="0.2">
      <c r="B579" s="146"/>
      <c r="C579" s="146"/>
      <c r="D579" s="146"/>
      <c r="E579" s="146"/>
      <c r="F579" s="146"/>
      <c r="G579" s="146"/>
      <c r="H579" s="146"/>
      <c r="I579" s="146"/>
      <c r="J579" s="146"/>
      <c r="K579" s="146"/>
      <c r="L579" s="146"/>
    </row>
    <row r="580" spans="2:12" x14ac:dyDescent="0.2">
      <c r="B580" s="146"/>
      <c r="C580" s="146"/>
      <c r="D580" s="146"/>
      <c r="E580" s="146"/>
      <c r="F580" s="146"/>
      <c r="G580" s="146"/>
      <c r="H580" s="146"/>
      <c r="I580" s="146"/>
      <c r="J580" s="146"/>
      <c r="K580" s="146"/>
      <c r="L580" s="146"/>
    </row>
    <row r="581" spans="2:12" x14ac:dyDescent="0.2">
      <c r="B581" s="146"/>
      <c r="C581" s="146"/>
      <c r="D581" s="146"/>
      <c r="E581" s="146"/>
      <c r="F581" s="146"/>
      <c r="G581" s="146"/>
      <c r="H581" s="146"/>
      <c r="I581" s="146"/>
      <c r="J581" s="146"/>
      <c r="K581" s="146"/>
      <c r="L581" s="146"/>
    </row>
    <row r="582" spans="2:12" x14ac:dyDescent="0.2">
      <c r="B582" s="146"/>
      <c r="C582" s="146"/>
      <c r="D582" s="146"/>
      <c r="E582" s="146"/>
      <c r="F582" s="146"/>
      <c r="G582" s="146"/>
      <c r="H582" s="146"/>
      <c r="I582" s="146"/>
      <c r="J582" s="146"/>
      <c r="K582" s="146"/>
      <c r="L582" s="146"/>
    </row>
    <row r="583" spans="2:12" x14ac:dyDescent="0.2">
      <c r="B583" s="146"/>
      <c r="C583" s="146"/>
      <c r="D583" s="146"/>
      <c r="E583" s="146"/>
      <c r="F583" s="146"/>
      <c r="G583" s="146"/>
      <c r="H583" s="146"/>
      <c r="I583" s="146"/>
      <c r="J583" s="146"/>
      <c r="K583" s="146"/>
      <c r="L583" s="146"/>
    </row>
    <row r="584" spans="2:12" x14ac:dyDescent="0.2">
      <c r="B584" s="146"/>
      <c r="C584" s="146"/>
      <c r="D584" s="146"/>
      <c r="E584" s="146"/>
      <c r="F584" s="146"/>
      <c r="G584" s="146"/>
      <c r="H584" s="146"/>
      <c r="I584" s="146"/>
      <c r="J584" s="146"/>
      <c r="K584" s="146"/>
      <c r="L584" s="146"/>
    </row>
    <row r="585" spans="2:12" x14ac:dyDescent="0.2">
      <c r="B585" s="146"/>
      <c r="C585" s="146"/>
      <c r="D585" s="146"/>
      <c r="E585" s="146"/>
      <c r="F585" s="146"/>
      <c r="G585" s="146"/>
      <c r="H585" s="146"/>
      <c r="I585" s="146"/>
      <c r="J585" s="146"/>
      <c r="K585" s="146"/>
      <c r="L585" s="146"/>
    </row>
    <row r="586" spans="2:12" x14ac:dyDescent="0.2">
      <c r="B586" s="146"/>
      <c r="C586" s="146"/>
      <c r="D586" s="146"/>
      <c r="E586" s="146"/>
      <c r="F586" s="146"/>
      <c r="G586" s="146"/>
      <c r="H586" s="146"/>
      <c r="I586" s="146"/>
      <c r="J586" s="146"/>
      <c r="K586" s="146"/>
      <c r="L586" s="146"/>
    </row>
    <row r="587" spans="2:12" x14ac:dyDescent="0.2">
      <c r="B587" s="146"/>
      <c r="C587" s="146"/>
      <c r="D587" s="146"/>
      <c r="E587" s="146"/>
      <c r="F587" s="146"/>
      <c r="G587" s="146"/>
      <c r="H587" s="146"/>
      <c r="I587" s="146"/>
      <c r="J587" s="146"/>
      <c r="K587" s="146"/>
      <c r="L587" s="146"/>
    </row>
    <row r="588" spans="2:12" x14ac:dyDescent="0.2">
      <c r="B588" s="146"/>
      <c r="C588" s="146"/>
      <c r="D588" s="146"/>
      <c r="E588" s="146"/>
      <c r="F588" s="146"/>
      <c r="G588" s="146"/>
      <c r="H588" s="146"/>
      <c r="I588" s="146"/>
      <c r="J588" s="146"/>
      <c r="K588" s="146"/>
      <c r="L588" s="146"/>
    </row>
    <row r="589" spans="2:12" x14ac:dyDescent="0.2">
      <c r="B589" s="146"/>
      <c r="C589" s="146"/>
      <c r="D589" s="146"/>
      <c r="E589" s="146"/>
      <c r="F589" s="146"/>
      <c r="G589" s="146"/>
      <c r="H589" s="146"/>
      <c r="I589" s="146"/>
      <c r="J589" s="146"/>
      <c r="K589" s="146"/>
      <c r="L589" s="146"/>
    </row>
    <row r="590" spans="2:12" x14ac:dyDescent="0.2">
      <c r="B590" s="146"/>
      <c r="C590" s="146"/>
      <c r="D590" s="146"/>
      <c r="E590" s="146"/>
      <c r="F590" s="146"/>
      <c r="G590" s="146"/>
      <c r="H590" s="146"/>
      <c r="I590" s="146"/>
      <c r="J590" s="146"/>
      <c r="K590" s="146"/>
      <c r="L590" s="146"/>
    </row>
    <row r="591" spans="2:12" x14ac:dyDescent="0.2">
      <c r="B591" s="146"/>
      <c r="C591" s="146"/>
      <c r="D591" s="146"/>
      <c r="E591" s="146"/>
      <c r="F591" s="146"/>
      <c r="G591" s="146"/>
      <c r="H591" s="146"/>
      <c r="I591" s="146"/>
      <c r="J591" s="146"/>
      <c r="K591" s="146"/>
      <c r="L591" s="146"/>
    </row>
    <row r="592" spans="2:12" x14ac:dyDescent="0.2">
      <c r="B592" s="146"/>
      <c r="C592" s="146"/>
      <c r="D592" s="146"/>
      <c r="E592" s="146"/>
      <c r="F592" s="146"/>
      <c r="G592" s="146"/>
      <c r="H592" s="146"/>
      <c r="I592" s="146"/>
      <c r="J592" s="146"/>
      <c r="K592" s="146"/>
      <c r="L592" s="146"/>
    </row>
    <row r="593" spans="2:12" x14ac:dyDescent="0.2">
      <c r="B593" s="146"/>
      <c r="C593" s="146"/>
      <c r="D593" s="146"/>
      <c r="E593" s="146"/>
      <c r="F593" s="146"/>
      <c r="G593" s="146"/>
      <c r="H593" s="146"/>
      <c r="I593" s="146"/>
      <c r="J593" s="146"/>
      <c r="K593" s="146"/>
      <c r="L593" s="146"/>
    </row>
    <row r="594" spans="2:12" x14ac:dyDescent="0.2">
      <c r="B594" s="146"/>
      <c r="C594" s="146"/>
      <c r="D594" s="146"/>
      <c r="E594" s="146"/>
      <c r="F594" s="146"/>
      <c r="G594" s="146"/>
      <c r="H594" s="146"/>
      <c r="I594" s="146"/>
      <c r="J594" s="146"/>
      <c r="K594" s="146"/>
      <c r="L594" s="146"/>
    </row>
    <row r="595" spans="2:12" x14ac:dyDescent="0.2">
      <c r="B595" s="146"/>
      <c r="C595" s="146"/>
      <c r="D595" s="146"/>
      <c r="E595" s="146"/>
      <c r="F595" s="146"/>
      <c r="G595" s="146"/>
      <c r="H595" s="146"/>
      <c r="I595" s="146"/>
      <c r="J595" s="146"/>
      <c r="K595" s="146"/>
      <c r="L595" s="146"/>
    </row>
    <row r="596" spans="2:12" x14ac:dyDescent="0.2">
      <c r="B596" s="146"/>
      <c r="C596" s="146"/>
      <c r="D596" s="146"/>
      <c r="E596" s="146"/>
      <c r="F596" s="146"/>
      <c r="G596" s="146"/>
      <c r="H596" s="146"/>
      <c r="I596" s="146"/>
      <c r="J596" s="146"/>
      <c r="K596" s="146"/>
      <c r="L596" s="146"/>
    </row>
    <row r="597" spans="2:12" x14ac:dyDescent="0.2">
      <c r="B597" s="146"/>
      <c r="C597" s="146"/>
      <c r="D597" s="146"/>
      <c r="E597" s="146"/>
      <c r="F597" s="146"/>
      <c r="G597" s="146"/>
      <c r="H597" s="146"/>
      <c r="I597" s="146"/>
      <c r="J597" s="146"/>
      <c r="K597" s="146"/>
      <c r="L597" s="146"/>
    </row>
    <row r="598" spans="2:12" x14ac:dyDescent="0.2">
      <c r="B598" s="146"/>
      <c r="C598" s="146"/>
      <c r="D598" s="146"/>
      <c r="E598" s="146"/>
      <c r="F598" s="146"/>
      <c r="G598" s="146"/>
      <c r="H598" s="146"/>
      <c r="I598" s="146"/>
      <c r="J598" s="146"/>
      <c r="K598" s="146"/>
      <c r="L598" s="146"/>
    </row>
    <row r="599" spans="2:12" x14ac:dyDescent="0.2">
      <c r="B599" s="146"/>
      <c r="C599" s="146"/>
      <c r="D599" s="146"/>
      <c r="E599" s="146"/>
      <c r="F599" s="146"/>
      <c r="G599" s="146"/>
      <c r="H599" s="146"/>
      <c r="I599" s="146"/>
      <c r="J599" s="146"/>
      <c r="K599" s="146"/>
      <c r="L599" s="146"/>
    </row>
    <row r="600" spans="2:12" x14ac:dyDescent="0.2">
      <c r="B600" s="146"/>
      <c r="C600" s="146"/>
      <c r="D600" s="146"/>
      <c r="E600" s="146"/>
      <c r="F600" s="146"/>
      <c r="G600" s="146"/>
      <c r="H600" s="146"/>
      <c r="I600" s="146"/>
      <c r="J600" s="146"/>
      <c r="K600" s="146"/>
      <c r="L600" s="146"/>
    </row>
    <row r="601" spans="2:12" x14ac:dyDescent="0.2">
      <c r="B601" s="146"/>
      <c r="C601" s="146"/>
      <c r="D601" s="146"/>
      <c r="E601" s="146"/>
      <c r="F601" s="146"/>
      <c r="G601" s="146"/>
      <c r="H601" s="146"/>
      <c r="I601" s="146"/>
      <c r="J601" s="146"/>
      <c r="K601" s="146"/>
      <c r="L601" s="146"/>
    </row>
    <row r="602" spans="2:12" x14ac:dyDescent="0.2">
      <c r="B602" s="146"/>
      <c r="C602" s="146"/>
      <c r="D602" s="146"/>
      <c r="E602" s="146"/>
      <c r="F602" s="146"/>
      <c r="G602" s="146"/>
      <c r="H602" s="146"/>
      <c r="I602" s="146"/>
      <c r="J602" s="146"/>
      <c r="K602" s="146"/>
      <c r="L602" s="146"/>
    </row>
    <row r="603" spans="2:12" x14ac:dyDescent="0.2">
      <c r="B603" s="146"/>
      <c r="C603" s="146"/>
      <c r="D603" s="146"/>
      <c r="E603" s="146"/>
      <c r="F603" s="146"/>
      <c r="G603" s="146"/>
      <c r="H603" s="146"/>
      <c r="I603" s="146"/>
      <c r="J603" s="146"/>
      <c r="K603" s="146"/>
      <c r="L603" s="146"/>
    </row>
    <row r="604" spans="2:12" x14ac:dyDescent="0.2">
      <c r="B604" s="146"/>
      <c r="C604" s="146"/>
      <c r="D604" s="146"/>
      <c r="E604" s="146"/>
      <c r="F604" s="146"/>
      <c r="G604" s="146"/>
      <c r="H604" s="146"/>
      <c r="I604" s="146"/>
      <c r="J604" s="146"/>
      <c r="K604" s="146"/>
      <c r="L604" s="146"/>
    </row>
    <row r="605" spans="2:12" x14ac:dyDescent="0.2">
      <c r="B605" s="146"/>
      <c r="C605" s="146"/>
      <c r="D605" s="146"/>
      <c r="E605" s="146"/>
      <c r="F605" s="146"/>
      <c r="G605" s="146"/>
      <c r="H605" s="146"/>
      <c r="I605" s="146"/>
      <c r="J605" s="146"/>
      <c r="K605" s="146"/>
      <c r="L605" s="146"/>
    </row>
    <row r="606" spans="2:12" x14ac:dyDescent="0.2">
      <c r="B606" s="146"/>
      <c r="C606" s="146"/>
      <c r="D606" s="146"/>
      <c r="E606" s="146"/>
      <c r="F606" s="146"/>
      <c r="G606" s="146"/>
      <c r="H606" s="146"/>
      <c r="I606" s="146"/>
      <c r="J606" s="146"/>
      <c r="K606" s="146"/>
      <c r="L606" s="146"/>
    </row>
    <row r="607" spans="2:12" x14ac:dyDescent="0.2">
      <c r="B607" s="146"/>
      <c r="C607" s="146"/>
      <c r="D607" s="146"/>
      <c r="E607" s="146"/>
      <c r="F607" s="146"/>
      <c r="G607" s="146"/>
      <c r="H607" s="146"/>
      <c r="I607" s="146"/>
      <c r="J607" s="146"/>
      <c r="K607" s="146"/>
      <c r="L607" s="146"/>
    </row>
    <row r="608" spans="2:12" x14ac:dyDescent="0.2">
      <c r="B608" s="146"/>
      <c r="C608" s="146"/>
      <c r="D608" s="146"/>
      <c r="E608" s="146"/>
      <c r="F608" s="146"/>
      <c r="G608" s="146"/>
      <c r="H608" s="146"/>
      <c r="I608" s="146"/>
      <c r="J608" s="146"/>
      <c r="K608" s="146"/>
      <c r="L608" s="146"/>
    </row>
    <row r="609" spans="2:12" x14ac:dyDescent="0.2">
      <c r="B609" s="146"/>
      <c r="C609" s="146"/>
      <c r="D609" s="146"/>
      <c r="E609" s="146"/>
      <c r="F609" s="146"/>
      <c r="G609" s="146"/>
      <c r="H609" s="146"/>
      <c r="I609" s="146"/>
      <c r="J609" s="146"/>
      <c r="K609" s="146"/>
      <c r="L609" s="146"/>
    </row>
    <row r="610" spans="2:12" x14ac:dyDescent="0.2">
      <c r="B610" s="146"/>
      <c r="C610" s="146"/>
      <c r="D610" s="146"/>
      <c r="E610" s="146"/>
      <c r="F610" s="146"/>
      <c r="G610" s="146"/>
      <c r="H610" s="146"/>
      <c r="I610" s="146"/>
      <c r="J610" s="146"/>
      <c r="K610" s="146"/>
      <c r="L610" s="146"/>
    </row>
    <row r="611" spans="2:12" x14ac:dyDescent="0.2">
      <c r="B611" s="146"/>
      <c r="C611" s="146"/>
      <c r="D611" s="146"/>
      <c r="E611" s="146"/>
      <c r="F611" s="146"/>
      <c r="G611" s="146"/>
      <c r="H611" s="146"/>
      <c r="I611" s="146"/>
      <c r="J611" s="146"/>
      <c r="K611" s="146"/>
      <c r="L611" s="146"/>
    </row>
    <row r="612" spans="2:12" x14ac:dyDescent="0.2">
      <c r="B612" s="146"/>
      <c r="C612" s="146"/>
      <c r="D612" s="146"/>
      <c r="E612" s="146"/>
      <c r="F612" s="146"/>
      <c r="G612" s="146"/>
      <c r="H612" s="146"/>
      <c r="I612" s="146"/>
      <c r="J612" s="146"/>
      <c r="K612" s="146"/>
      <c r="L612" s="146"/>
    </row>
    <row r="613" spans="2:12" x14ac:dyDescent="0.2">
      <c r="B613" s="146"/>
      <c r="C613" s="146"/>
      <c r="D613" s="146"/>
      <c r="E613" s="146"/>
      <c r="F613" s="146"/>
      <c r="G613" s="146"/>
      <c r="H613" s="146"/>
      <c r="I613" s="146"/>
      <c r="J613" s="146"/>
      <c r="K613" s="146"/>
      <c r="L613" s="146"/>
    </row>
    <row r="614" spans="2:12" x14ac:dyDescent="0.2">
      <c r="B614" s="146"/>
      <c r="C614" s="146"/>
      <c r="D614" s="146"/>
      <c r="E614" s="146"/>
      <c r="F614" s="146"/>
      <c r="G614" s="146"/>
      <c r="H614" s="146"/>
      <c r="I614" s="146"/>
      <c r="J614" s="146"/>
      <c r="K614" s="146"/>
      <c r="L614" s="146"/>
    </row>
    <row r="615" spans="2:12" x14ac:dyDescent="0.2">
      <c r="B615" s="146"/>
      <c r="C615" s="146"/>
      <c r="D615" s="146"/>
      <c r="E615" s="146"/>
      <c r="F615" s="146"/>
      <c r="G615" s="146"/>
      <c r="H615" s="146"/>
      <c r="I615" s="146"/>
      <c r="J615" s="146"/>
      <c r="K615" s="146"/>
      <c r="L615" s="146"/>
    </row>
    <row r="616" spans="2:12" x14ac:dyDescent="0.2">
      <c r="B616" s="146"/>
      <c r="C616" s="146"/>
      <c r="D616" s="146"/>
      <c r="E616" s="146"/>
      <c r="F616" s="146"/>
      <c r="G616" s="146"/>
      <c r="H616" s="146"/>
      <c r="I616" s="146"/>
      <c r="J616" s="146"/>
      <c r="K616" s="146"/>
      <c r="L616" s="146"/>
    </row>
    <row r="617" spans="2:12" x14ac:dyDescent="0.2">
      <c r="B617" s="146"/>
      <c r="C617" s="146"/>
      <c r="D617" s="146"/>
      <c r="E617" s="146"/>
      <c r="F617" s="146"/>
      <c r="G617" s="146"/>
      <c r="H617" s="146"/>
      <c r="I617" s="146"/>
      <c r="J617" s="146"/>
      <c r="K617" s="146"/>
      <c r="L617" s="146"/>
    </row>
    <row r="618" spans="2:12" x14ac:dyDescent="0.2">
      <c r="B618" s="146"/>
      <c r="C618" s="146"/>
      <c r="D618" s="146"/>
      <c r="E618" s="146"/>
      <c r="F618" s="146"/>
      <c r="G618" s="146"/>
      <c r="H618" s="146"/>
      <c r="I618" s="146"/>
      <c r="J618" s="146"/>
      <c r="K618" s="146"/>
      <c r="L618" s="146"/>
    </row>
    <row r="619" spans="2:12" x14ac:dyDescent="0.2">
      <c r="B619" s="146"/>
      <c r="C619" s="146"/>
      <c r="D619" s="146"/>
      <c r="E619" s="146"/>
      <c r="F619" s="146"/>
      <c r="G619" s="146"/>
      <c r="H619" s="146"/>
      <c r="I619" s="146"/>
      <c r="J619" s="146"/>
      <c r="K619" s="146"/>
      <c r="L619" s="146"/>
    </row>
    <row r="620" spans="2:12" x14ac:dyDescent="0.2">
      <c r="B620" s="146"/>
      <c r="C620" s="146"/>
      <c r="D620" s="146"/>
      <c r="E620" s="146"/>
      <c r="F620" s="146"/>
      <c r="G620" s="146"/>
      <c r="H620" s="146"/>
      <c r="I620" s="146"/>
      <c r="J620" s="146"/>
      <c r="K620" s="146"/>
      <c r="L620" s="146"/>
    </row>
    <row r="621" spans="2:12" x14ac:dyDescent="0.2">
      <c r="B621" s="146"/>
      <c r="C621" s="146"/>
      <c r="D621" s="146"/>
      <c r="E621" s="146"/>
      <c r="F621" s="146"/>
      <c r="G621" s="146"/>
      <c r="H621" s="146"/>
      <c r="I621" s="146"/>
      <c r="J621" s="146"/>
      <c r="K621" s="146"/>
      <c r="L621" s="146"/>
    </row>
    <row r="622" spans="2:12" x14ac:dyDescent="0.2">
      <c r="B622" s="146"/>
      <c r="C622" s="146"/>
      <c r="D622" s="146"/>
      <c r="E622" s="146"/>
      <c r="F622" s="146"/>
      <c r="G622" s="146"/>
      <c r="H622" s="146"/>
      <c r="I622" s="146"/>
      <c r="J622" s="146"/>
      <c r="K622" s="146"/>
      <c r="L622" s="146"/>
    </row>
    <row r="623" spans="2:12" x14ac:dyDescent="0.2">
      <c r="B623" s="146"/>
      <c r="C623" s="146"/>
      <c r="D623" s="146"/>
      <c r="E623" s="146"/>
      <c r="F623" s="146"/>
      <c r="G623" s="146"/>
      <c r="H623" s="146"/>
      <c r="I623" s="146"/>
      <c r="J623" s="146"/>
      <c r="K623" s="146"/>
      <c r="L623" s="146"/>
    </row>
    <row r="624" spans="2:12" x14ac:dyDescent="0.2">
      <c r="B624" s="146"/>
      <c r="C624" s="146"/>
      <c r="D624" s="146"/>
      <c r="E624" s="146"/>
      <c r="F624" s="146"/>
      <c r="G624" s="146"/>
      <c r="H624" s="146"/>
      <c r="I624" s="146"/>
      <c r="J624" s="146"/>
      <c r="K624" s="146"/>
      <c r="L624" s="146"/>
    </row>
    <row r="625" spans="2:12" x14ac:dyDescent="0.2">
      <c r="B625" s="146"/>
      <c r="C625" s="146"/>
      <c r="D625" s="146"/>
      <c r="E625" s="146"/>
      <c r="F625" s="146"/>
      <c r="G625" s="146"/>
      <c r="H625" s="146"/>
      <c r="I625" s="146"/>
      <c r="J625" s="146"/>
      <c r="K625" s="146"/>
      <c r="L625" s="146"/>
    </row>
    <row r="626" spans="2:12" x14ac:dyDescent="0.2">
      <c r="B626" s="146"/>
      <c r="C626" s="146"/>
      <c r="D626" s="146"/>
      <c r="E626" s="146"/>
      <c r="F626" s="146"/>
      <c r="G626" s="146"/>
      <c r="H626" s="146"/>
      <c r="I626" s="146"/>
      <c r="J626" s="146"/>
      <c r="K626" s="146"/>
      <c r="L626" s="146"/>
    </row>
    <row r="627" spans="2:12" x14ac:dyDescent="0.2">
      <c r="B627" s="146"/>
      <c r="C627" s="146"/>
      <c r="D627" s="146"/>
      <c r="E627" s="146"/>
      <c r="F627" s="146"/>
      <c r="G627" s="146"/>
      <c r="H627" s="146"/>
      <c r="I627" s="146"/>
      <c r="J627" s="146"/>
      <c r="K627" s="146"/>
      <c r="L627" s="146"/>
    </row>
    <row r="628" spans="2:12" x14ac:dyDescent="0.2">
      <c r="B628" s="146"/>
      <c r="C628" s="146"/>
      <c r="D628" s="146"/>
      <c r="E628" s="146"/>
      <c r="F628" s="146"/>
      <c r="G628" s="146"/>
      <c r="H628" s="146"/>
      <c r="I628" s="146"/>
      <c r="J628" s="146"/>
      <c r="K628" s="146"/>
      <c r="L628" s="146"/>
    </row>
    <row r="629" spans="2:12" x14ac:dyDescent="0.2">
      <c r="B629" s="146"/>
      <c r="C629" s="146"/>
      <c r="D629" s="146"/>
      <c r="E629" s="146"/>
      <c r="F629" s="146"/>
      <c r="G629" s="146"/>
      <c r="H629" s="146"/>
      <c r="I629" s="146"/>
      <c r="J629" s="146"/>
      <c r="K629" s="146"/>
      <c r="L629" s="146"/>
    </row>
    <row r="630" spans="2:12" x14ac:dyDescent="0.2">
      <c r="B630" s="146"/>
      <c r="C630" s="146"/>
      <c r="D630" s="146"/>
      <c r="E630" s="146"/>
      <c r="F630" s="146"/>
      <c r="G630" s="146"/>
      <c r="H630" s="146"/>
      <c r="I630" s="146"/>
      <c r="J630" s="146"/>
      <c r="K630" s="146"/>
      <c r="L630" s="146"/>
    </row>
    <row r="631" spans="2:12" x14ac:dyDescent="0.2">
      <c r="B631" s="146"/>
      <c r="C631" s="146"/>
      <c r="D631" s="146"/>
      <c r="E631" s="146"/>
      <c r="F631" s="146"/>
      <c r="G631" s="146"/>
      <c r="H631" s="146"/>
      <c r="I631" s="146"/>
      <c r="J631" s="146"/>
      <c r="K631" s="146"/>
      <c r="L631" s="146"/>
    </row>
    <row r="632" spans="2:12" x14ac:dyDescent="0.2">
      <c r="B632" s="146"/>
      <c r="C632" s="146"/>
      <c r="D632" s="146"/>
      <c r="E632" s="146"/>
      <c r="F632" s="146"/>
      <c r="G632" s="146"/>
      <c r="H632" s="146"/>
      <c r="I632" s="146"/>
      <c r="J632" s="146"/>
      <c r="K632" s="146"/>
      <c r="L632" s="146"/>
    </row>
    <row r="633" spans="2:12" x14ac:dyDescent="0.2">
      <c r="B633" s="146"/>
      <c r="C633" s="146"/>
      <c r="D633" s="146"/>
      <c r="E633" s="146"/>
      <c r="F633" s="146"/>
      <c r="G633" s="146"/>
      <c r="H633" s="146"/>
      <c r="I633" s="146"/>
      <c r="J633" s="146"/>
      <c r="K633" s="146"/>
      <c r="L633" s="146"/>
    </row>
    <row r="634" spans="2:12" x14ac:dyDescent="0.2">
      <c r="B634" s="146"/>
      <c r="C634" s="146"/>
      <c r="D634" s="146"/>
      <c r="E634" s="146"/>
      <c r="F634" s="146"/>
      <c r="G634" s="146"/>
      <c r="H634" s="146"/>
      <c r="I634" s="146"/>
      <c r="J634" s="146"/>
      <c r="K634" s="146"/>
      <c r="L634" s="146"/>
    </row>
    <row r="635" spans="2:12" x14ac:dyDescent="0.2">
      <c r="B635" s="146"/>
      <c r="C635" s="146"/>
      <c r="D635" s="146"/>
      <c r="E635" s="146"/>
      <c r="F635" s="146"/>
      <c r="G635" s="146"/>
      <c r="H635" s="146"/>
      <c r="I635" s="146"/>
      <c r="J635" s="146"/>
      <c r="K635" s="146"/>
      <c r="L635" s="146"/>
    </row>
    <row r="636" spans="2:12" x14ac:dyDescent="0.2">
      <c r="B636" s="146"/>
      <c r="C636" s="146"/>
      <c r="D636" s="146"/>
      <c r="E636" s="146"/>
      <c r="F636" s="146"/>
      <c r="G636" s="146"/>
      <c r="H636" s="146"/>
      <c r="I636" s="146"/>
      <c r="J636" s="146"/>
      <c r="K636" s="146"/>
      <c r="L636" s="146"/>
    </row>
    <row r="637" spans="2:12" x14ac:dyDescent="0.2">
      <c r="B637" s="146"/>
      <c r="C637" s="146"/>
      <c r="D637" s="146"/>
      <c r="E637" s="146"/>
      <c r="F637" s="146"/>
      <c r="G637" s="146"/>
      <c r="H637" s="146"/>
      <c r="I637" s="146"/>
      <c r="J637" s="146"/>
      <c r="K637" s="146"/>
      <c r="L637" s="146"/>
    </row>
    <row r="638" spans="2:12" x14ac:dyDescent="0.2">
      <c r="B638" s="146"/>
      <c r="C638" s="146"/>
      <c r="D638" s="146"/>
      <c r="E638" s="146"/>
      <c r="F638" s="146"/>
      <c r="G638" s="146"/>
      <c r="H638" s="146"/>
      <c r="I638" s="146"/>
      <c r="J638" s="146"/>
      <c r="K638" s="146"/>
      <c r="L638" s="146"/>
    </row>
    <row r="639" spans="2:12" x14ac:dyDescent="0.2">
      <c r="B639" s="146"/>
      <c r="C639" s="146"/>
      <c r="D639" s="146"/>
      <c r="E639" s="146"/>
      <c r="F639" s="146"/>
      <c r="G639" s="146"/>
      <c r="H639" s="146"/>
      <c r="I639" s="146"/>
      <c r="J639" s="146"/>
      <c r="K639" s="146"/>
      <c r="L639" s="146"/>
    </row>
    <row r="640" spans="2:12" x14ac:dyDescent="0.2">
      <c r="B640" s="146"/>
      <c r="C640" s="146"/>
      <c r="D640" s="146"/>
      <c r="E640" s="146"/>
      <c r="F640" s="146"/>
      <c r="G640" s="146"/>
      <c r="H640" s="146"/>
      <c r="I640" s="146"/>
      <c r="J640" s="146"/>
      <c r="K640" s="146"/>
      <c r="L640" s="146"/>
    </row>
    <row r="641" spans="2:12" x14ac:dyDescent="0.2">
      <c r="B641" s="146"/>
      <c r="C641" s="146"/>
      <c r="D641" s="146"/>
      <c r="E641" s="146"/>
      <c r="F641" s="146"/>
      <c r="G641" s="146"/>
      <c r="H641" s="146"/>
      <c r="I641" s="146"/>
      <c r="J641" s="146"/>
      <c r="K641" s="146"/>
      <c r="L641" s="146"/>
    </row>
    <row r="642" spans="2:12" x14ac:dyDescent="0.2">
      <c r="B642" s="146"/>
      <c r="C642" s="146"/>
      <c r="D642" s="146"/>
      <c r="E642" s="146"/>
      <c r="F642" s="146"/>
      <c r="G642" s="146"/>
      <c r="H642" s="146"/>
      <c r="I642" s="146"/>
      <c r="J642" s="146"/>
      <c r="K642" s="146"/>
      <c r="L642" s="146"/>
    </row>
    <row r="643" spans="2:12" x14ac:dyDescent="0.2">
      <c r="B643" s="146"/>
      <c r="C643" s="146"/>
      <c r="D643" s="146"/>
      <c r="E643" s="146"/>
      <c r="F643" s="146"/>
      <c r="G643" s="146"/>
      <c r="H643" s="146"/>
      <c r="I643" s="146"/>
      <c r="J643" s="146"/>
      <c r="K643" s="146"/>
      <c r="L643" s="146"/>
    </row>
    <row r="644" spans="2:12" x14ac:dyDescent="0.2">
      <c r="B644" s="146"/>
      <c r="C644" s="146"/>
      <c r="D644" s="146"/>
      <c r="E644" s="146"/>
      <c r="F644" s="146"/>
      <c r="G644" s="146"/>
      <c r="H644" s="146"/>
      <c r="I644" s="146"/>
      <c r="J644" s="146"/>
      <c r="K644" s="146"/>
      <c r="L644" s="146"/>
    </row>
    <row r="645" spans="2:12" x14ac:dyDescent="0.2">
      <c r="B645" s="146"/>
      <c r="C645" s="146"/>
      <c r="D645" s="146"/>
      <c r="E645" s="146"/>
      <c r="F645" s="146"/>
      <c r="G645" s="146"/>
      <c r="H645" s="146"/>
      <c r="I645" s="146"/>
      <c r="J645" s="146"/>
      <c r="K645" s="146"/>
      <c r="L645" s="146"/>
    </row>
    <row r="646" spans="2:12" x14ac:dyDescent="0.2">
      <c r="B646" s="146"/>
      <c r="C646" s="146"/>
      <c r="D646" s="146"/>
      <c r="E646" s="146"/>
      <c r="F646" s="146"/>
      <c r="G646" s="146"/>
      <c r="H646" s="146"/>
      <c r="I646" s="146"/>
      <c r="J646" s="146"/>
      <c r="K646" s="146"/>
      <c r="L646" s="146"/>
    </row>
    <row r="647" spans="2:12" x14ac:dyDescent="0.2">
      <c r="B647" s="146"/>
      <c r="C647" s="146"/>
      <c r="D647" s="146"/>
      <c r="E647" s="146"/>
      <c r="F647" s="146"/>
      <c r="G647" s="146"/>
      <c r="H647" s="146"/>
      <c r="I647" s="146"/>
      <c r="J647" s="146"/>
      <c r="K647" s="146"/>
      <c r="L647" s="146"/>
    </row>
    <row r="648" spans="2:12" x14ac:dyDescent="0.2">
      <c r="B648" s="146"/>
      <c r="C648" s="146"/>
      <c r="D648" s="146"/>
      <c r="E648" s="146"/>
      <c r="F648" s="146"/>
      <c r="G648" s="146"/>
      <c r="H648" s="146"/>
      <c r="I648" s="146"/>
      <c r="J648" s="146"/>
      <c r="K648" s="146"/>
      <c r="L648" s="146"/>
    </row>
    <row r="649" spans="2:12" x14ac:dyDescent="0.2">
      <c r="B649" s="146"/>
      <c r="C649" s="146"/>
      <c r="D649" s="146"/>
      <c r="E649" s="146"/>
      <c r="F649" s="146"/>
      <c r="G649" s="146"/>
      <c r="H649" s="146"/>
      <c r="I649" s="146"/>
      <c r="J649" s="146"/>
      <c r="K649" s="146"/>
      <c r="L649" s="146"/>
    </row>
    <row r="650" spans="2:12" x14ac:dyDescent="0.2">
      <c r="B650" s="146"/>
      <c r="C650" s="146"/>
      <c r="D650" s="146"/>
      <c r="E650" s="146"/>
      <c r="F650" s="146"/>
      <c r="G650" s="146"/>
      <c r="H650" s="146"/>
      <c r="I650" s="146"/>
      <c r="J650" s="146"/>
      <c r="K650" s="146"/>
      <c r="L650" s="146"/>
    </row>
    <row r="651" spans="2:12" x14ac:dyDescent="0.2">
      <c r="B651" s="146"/>
      <c r="C651" s="146"/>
      <c r="D651" s="146"/>
      <c r="E651" s="146"/>
      <c r="F651" s="146"/>
      <c r="G651" s="146"/>
      <c r="H651" s="146"/>
      <c r="I651" s="146"/>
      <c r="J651" s="146"/>
      <c r="K651" s="146"/>
      <c r="L651" s="146"/>
    </row>
    <row r="652" spans="2:12" x14ac:dyDescent="0.2">
      <c r="B652" s="146"/>
      <c r="C652" s="146"/>
      <c r="D652" s="146"/>
      <c r="E652" s="146"/>
      <c r="F652" s="146"/>
      <c r="G652" s="146"/>
      <c r="H652" s="146"/>
      <c r="I652" s="146"/>
      <c r="J652" s="146"/>
      <c r="K652" s="146"/>
      <c r="L652" s="146"/>
    </row>
    <row r="653" spans="2:12" x14ac:dyDescent="0.2">
      <c r="B653" s="146"/>
      <c r="C653" s="146"/>
      <c r="D653" s="146"/>
      <c r="E653" s="146"/>
      <c r="F653" s="146"/>
      <c r="G653" s="146"/>
      <c r="H653" s="146"/>
      <c r="I653" s="146"/>
      <c r="J653" s="146"/>
      <c r="K653" s="146"/>
      <c r="L653" s="146"/>
    </row>
    <row r="654" spans="2:12" x14ac:dyDescent="0.2">
      <c r="B654" s="146"/>
      <c r="C654" s="146"/>
      <c r="D654" s="146"/>
      <c r="E654" s="146"/>
      <c r="F654" s="146"/>
      <c r="G654" s="146"/>
      <c r="H654" s="146"/>
      <c r="I654" s="146"/>
      <c r="J654" s="146"/>
      <c r="K654" s="146"/>
      <c r="L654" s="146"/>
    </row>
    <row r="655" spans="2:12" x14ac:dyDescent="0.2">
      <c r="B655" s="146"/>
      <c r="C655" s="146"/>
      <c r="D655" s="146"/>
      <c r="E655" s="146"/>
      <c r="F655" s="146"/>
      <c r="G655" s="146"/>
      <c r="H655" s="146"/>
      <c r="I655" s="146"/>
      <c r="J655" s="146"/>
      <c r="K655" s="146"/>
      <c r="L655" s="146"/>
    </row>
    <row r="656" spans="2:12" x14ac:dyDescent="0.2">
      <c r="B656" s="146"/>
      <c r="C656" s="146"/>
      <c r="D656" s="146"/>
      <c r="E656" s="146"/>
      <c r="F656" s="146"/>
      <c r="G656" s="146"/>
      <c r="H656" s="146"/>
      <c r="I656" s="146"/>
      <c r="J656" s="146"/>
      <c r="K656" s="146"/>
      <c r="L656" s="146"/>
    </row>
    <row r="657" spans="2:12" x14ac:dyDescent="0.2">
      <c r="B657" s="146"/>
      <c r="C657" s="146"/>
      <c r="D657" s="146"/>
      <c r="E657" s="146"/>
      <c r="F657" s="146"/>
      <c r="G657" s="146"/>
      <c r="H657" s="146"/>
      <c r="I657" s="146"/>
      <c r="J657" s="146"/>
      <c r="K657" s="146"/>
      <c r="L657" s="146"/>
    </row>
    <row r="658" spans="2:12" x14ac:dyDescent="0.2">
      <c r="B658" s="146"/>
      <c r="C658" s="146"/>
      <c r="D658" s="146"/>
      <c r="E658" s="146"/>
      <c r="F658" s="146"/>
      <c r="G658" s="146"/>
      <c r="H658" s="146"/>
      <c r="I658" s="146"/>
      <c r="J658" s="146"/>
      <c r="K658" s="146"/>
      <c r="L658" s="146"/>
    </row>
    <row r="659" spans="2:12" x14ac:dyDescent="0.2">
      <c r="B659" s="146"/>
      <c r="C659" s="146"/>
      <c r="D659" s="146"/>
      <c r="E659" s="146"/>
      <c r="F659" s="146"/>
      <c r="G659" s="146"/>
      <c r="H659" s="146"/>
      <c r="I659" s="146"/>
      <c r="J659" s="146"/>
      <c r="K659" s="146"/>
      <c r="L659" s="146"/>
    </row>
    <row r="660" spans="2:12" x14ac:dyDescent="0.2">
      <c r="B660" s="146"/>
      <c r="C660" s="146"/>
      <c r="D660" s="146"/>
      <c r="E660" s="146"/>
      <c r="F660" s="146"/>
      <c r="G660" s="146"/>
      <c r="H660" s="146"/>
      <c r="I660" s="146"/>
      <c r="J660" s="146"/>
      <c r="K660" s="146"/>
      <c r="L660" s="146"/>
    </row>
    <row r="661" spans="2:12" x14ac:dyDescent="0.2">
      <c r="B661" s="146"/>
      <c r="C661" s="146"/>
      <c r="D661" s="146"/>
      <c r="E661" s="146"/>
      <c r="F661" s="146"/>
      <c r="G661" s="146"/>
      <c r="H661" s="146"/>
      <c r="I661" s="146"/>
      <c r="J661" s="146"/>
      <c r="K661" s="146"/>
      <c r="L661" s="146"/>
    </row>
    <row r="662" spans="2:12" x14ac:dyDescent="0.2">
      <c r="B662" s="146"/>
      <c r="C662" s="146"/>
      <c r="D662" s="146"/>
      <c r="E662" s="146"/>
      <c r="F662" s="146"/>
      <c r="G662" s="146"/>
      <c r="H662" s="146"/>
      <c r="I662" s="146"/>
      <c r="J662" s="146"/>
      <c r="K662" s="146"/>
      <c r="L662" s="146"/>
    </row>
    <row r="663" spans="2:12" x14ac:dyDescent="0.2">
      <c r="B663" s="146"/>
      <c r="C663" s="146"/>
      <c r="D663" s="146"/>
      <c r="E663" s="146"/>
      <c r="F663" s="146"/>
      <c r="G663" s="146"/>
      <c r="H663" s="146"/>
      <c r="I663" s="146"/>
      <c r="J663" s="146"/>
      <c r="K663" s="146"/>
      <c r="L663" s="146"/>
    </row>
    <row r="664" spans="2:12" x14ac:dyDescent="0.2">
      <c r="B664" s="146"/>
      <c r="C664" s="146"/>
      <c r="D664" s="146"/>
      <c r="E664" s="146"/>
      <c r="F664" s="146"/>
      <c r="G664" s="146"/>
      <c r="H664" s="146"/>
      <c r="I664" s="146"/>
      <c r="J664" s="146"/>
      <c r="K664" s="146"/>
      <c r="L664" s="146"/>
    </row>
    <row r="665" spans="2:12" x14ac:dyDescent="0.2">
      <c r="B665" s="146"/>
      <c r="C665" s="146"/>
      <c r="D665" s="146"/>
      <c r="E665" s="146"/>
      <c r="F665" s="146"/>
      <c r="G665" s="146"/>
      <c r="H665" s="146"/>
      <c r="I665" s="146"/>
      <c r="J665" s="146"/>
      <c r="K665" s="146"/>
      <c r="L665" s="146"/>
    </row>
    <row r="666" spans="2:12" x14ac:dyDescent="0.2">
      <c r="B666" s="146"/>
      <c r="C666" s="146"/>
      <c r="D666" s="146"/>
      <c r="E666" s="146"/>
      <c r="F666" s="146"/>
      <c r="G666" s="146"/>
      <c r="H666" s="146"/>
      <c r="I666" s="146"/>
      <c r="J666" s="146"/>
      <c r="K666" s="146"/>
      <c r="L666" s="146"/>
    </row>
    <row r="667" spans="2:12" x14ac:dyDescent="0.2">
      <c r="B667" s="146"/>
      <c r="C667" s="146"/>
      <c r="D667" s="146"/>
      <c r="E667" s="146"/>
      <c r="F667" s="146"/>
      <c r="G667" s="146"/>
      <c r="H667" s="146"/>
      <c r="I667" s="146"/>
      <c r="J667" s="146"/>
      <c r="K667" s="146"/>
      <c r="L667" s="146"/>
    </row>
    <row r="668" spans="2:12" x14ac:dyDescent="0.2">
      <c r="B668" s="146"/>
      <c r="C668" s="146"/>
      <c r="D668" s="146"/>
      <c r="E668" s="146"/>
      <c r="F668" s="146"/>
      <c r="G668" s="146"/>
      <c r="H668" s="146"/>
      <c r="I668" s="146"/>
      <c r="J668" s="146"/>
      <c r="K668" s="146"/>
      <c r="L668" s="146"/>
    </row>
    <row r="669" spans="2:12" x14ac:dyDescent="0.2">
      <c r="B669" s="146"/>
      <c r="C669" s="146"/>
      <c r="D669" s="146"/>
      <c r="E669" s="146"/>
      <c r="F669" s="146"/>
      <c r="G669" s="146"/>
      <c r="H669" s="146"/>
      <c r="I669" s="146"/>
      <c r="J669" s="146"/>
      <c r="K669" s="146"/>
      <c r="L669" s="146"/>
    </row>
    <row r="670" spans="2:12" x14ac:dyDescent="0.2">
      <c r="B670" s="146"/>
      <c r="C670" s="146"/>
      <c r="D670" s="146"/>
      <c r="E670" s="146"/>
      <c r="F670" s="146"/>
      <c r="G670" s="146"/>
      <c r="H670" s="146"/>
      <c r="I670" s="146"/>
      <c r="J670" s="146"/>
      <c r="K670" s="146"/>
      <c r="L670" s="146"/>
    </row>
    <row r="671" spans="2:12" x14ac:dyDescent="0.2">
      <c r="B671" s="146"/>
      <c r="C671" s="146"/>
      <c r="D671" s="146"/>
      <c r="E671" s="146"/>
      <c r="F671" s="146"/>
      <c r="G671" s="146"/>
      <c r="H671" s="146"/>
      <c r="I671" s="146"/>
      <c r="J671" s="146"/>
      <c r="K671" s="146"/>
      <c r="L671" s="146"/>
    </row>
    <row r="672" spans="2:12" x14ac:dyDescent="0.2">
      <c r="B672" s="146"/>
      <c r="C672" s="146"/>
      <c r="D672" s="146"/>
      <c r="E672" s="146"/>
      <c r="F672" s="146"/>
      <c r="G672" s="146"/>
      <c r="H672" s="146"/>
      <c r="I672" s="146"/>
      <c r="J672" s="146"/>
      <c r="K672" s="146"/>
      <c r="L672" s="146"/>
    </row>
    <row r="673" spans="2:12" x14ac:dyDescent="0.2">
      <c r="B673" s="146"/>
      <c r="C673" s="146"/>
      <c r="D673" s="146"/>
      <c r="E673" s="146"/>
      <c r="F673" s="146"/>
      <c r="G673" s="146"/>
      <c r="H673" s="146"/>
      <c r="I673" s="146"/>
      <c r="J673" s="146"/>
      <c r="K673" s="146"/>
      <c r="L673" s="146"/>
    </row>
    <row r="674" spans="2:12" x14ac:dyDescent="0.2">
      <c r="B674" s="146"/>
      <c r="C674" s="146"/>
      <c r="D674" s="146"/>
      <c r="E674" s="146"/>
      <c r="F674" s="146"/>
      <c r="G674" s="146"/>
      <c r="H674" s="146"/>
      <c r="I674" s="146"/>
      <c r="J674" s="146"/>
      <c r="K674" s="146"/>
      <c r="L674" s="146"/>
    </row>
    <row r="675" spans="2:12" x14ac:dyDescent="0.2">
      <c r="B675" s="146"/>
      <c r="C675" s="146"/>
      <c r="D675" s="146"/>
      <c r="E675" s="146"/>
      <c r="F675" s="146"/>
      <c r="G675" s="146"/>
      <c r="H675" s="146"/>
      <c r="I675" s="146"/>
      <c r="J675" s="146"/>
      <c r="K675" s="146"/>
      <c r="L675" s="146"/>
    </row>
    <row r="676" spans="2:12" x14ac:dyDescent="0.2">
      <c r="B676" s="146"/>
      <c r="C676" s="146"/>
      <c r="D676" s="146"/>
      <c r="E676" s="146"/>
      <c r="F676" s="146"/>
      <c r="G676" s="146"/>
      <c r="H676" s="146"/>
      <c r="I676" s="146"/>
      <c r="J676" s="146"/>
      <c r="K676" s="146"/>
      <c r="L676" s="146"/>
    </row>
    <row r="677" spans="2:12" x14ac:dyDescent="0.2">
      <c r="B677" s="146"/>
      <c r="C677" s="146"/>
      <c r="D677" s="146"/>
      <c r="E677" s="146"/>
      <c r="F677" s="146"/>
      <c r="G677" s="146"/>
      <c r="H677" s="146"/>
      <c r="I677" s="146"/>
      <c r="J677" s="146"/>
      <c r="K677" s="146"/>
      <c r="L677" s="146"/>
    </row>
    <row r="678" spans="2:12" x14ac:dyDescent="0.2">
      <c r="B678" s="146"/>
      <c r="C678" s="146"/>
      <c r="D678" s="146"/>
      <c r="E678" s="146"/>
      <c r="F678" s="146"/>
      <c r="G678" s="146"/>
      <c r="H678" s="146"/>
      <c r="I678" s="146"/>
      <c r="J678" s="146"/>
      <c r="K678" s="146"/>
      <c r="L678" s="146"/>
    </row>
    <row r="679" spans="2:12" x14ac:dyDescent="0.2">
      <c r="B679" s="146"/>
      <c r="C679" s="146"/>
      <c r="D679" s="146"/>
      <c r="E679" s="146"/>
      <c r="F679" s="146"/>
      <c r="G679" s="146"/>
      <c r="H679" s="146"/>
      <c r="I679" s="146"/>
      <c r="J679" s="146"/>
      <c r="K679" s="146"/>
      <c r="L679" s="146"/>
    </row>
    <row r="680" spans="2:12" x14ac:dyDescent="0.2">
      <c r="B680" s="146"/>
      <c r="C680" s="146"/>
      <c r="D680" s="146"/>
      <c r="E680" s="146"/>
      <c r="F680" s="146"/>
      <c r="G680" s="146"/>
      <c r="H680" s="146"/>
      <c r="I680" s="146"/>
      <c r="J680" s="146"/>
      <c r="K680" s="146"/>
      <c r="L680" s="146"/>
    </row>
    <row r="681" spans="2:12" x14ac:dyDescent="0.2">
      <c r="B681" s="146"/>
      <c r="C681" s="146"/>
      <c r="D681" s="146"/>
      <c r="E681" s="146"/>
      <c r="F681" s="146"/>
      <c r="G681" s="146"/>
      <c r="H681" s="146"/>
      <c r="I681" s="146"/>
      <c r="J681" s="146"/>
      <c r="K681" s="146"/>
      <c r="L681" s="146"/>
    </row>
    <row r="682" spans="2:12" x14ac:dyDescent="0.2">
      <c r="B682" s="146"/>
      <c r="C682" s="146"/>
      <c r="D682" s="146"/>
      <c r="E682" s="146"/>
      <c r="F682" s="146"/>
      <c r="G682" s="146"/>
      <c r="H682" s="146"/>
      <c r="I682" s="146"/>
      <c r="J682" s="146"/>
      <c r="K682" s="146"/>
      <c r="L682" s="146"/>
    </row>
    <row r="683" spans="2:12" x14ac:dyDescent="0.2">
      <c r="B683" s="146"/>
      <c r="C683" s="146"/>
      <c r="D683" s="146"/>
      <c r="E683" s="146"/>
      <c r="F683" s="146"/>
      <c r="G683" s="146"/>
      <c r="H683" s="146"/>
      <c r="I683" s="146"/>
      <c r="J683" s="146"/>
      <c r="K683" s="146"/>
      <c r="L683" s="146"/>
    </row>
    <row r="684" spans="2:12" x14ac:dyDescent="0.2">
      <c r="B684" s="146"/>
      <c r="C684" s="146"/>
      <c r="D684" s="146"/>
      <c r="E684" s="146"/>
      <c r="F684" s="146"/>
      <c r="G684" s="146"/>
      <c r="H684" s="146"/>
      <c r="I684" s="146"/>
      <c r="J684" s="146"/>
      <c r="K684" s="146"/>
      <c r="L684" s="146"/>
    </row>
    <row r="685" spans="2:12" x14ac:dyDescent="0.2">
      <c r="B685" s="146"/>
      <c r="C685" s="146"/>
      <c r="D685" s="146"/>
      <c r="E685" s="146"/>
      <c r="F685" s="146"/>
      <c r="G685" s="146"/>
      <c r="H685" s="146"/>
      <c r="I685" s="146"/>
      <c r="J685" s="146"/>
      <c r="K685" s="146"/>
      <c r="L685" s="146"/>
    </row>
    <row r="686" spans="2:12" x14ac:dyDescent="0.2">
      <c r="B686" s="146"/>
      <c r="C686" s="146"/>
      <c r="D686" s="146"/>
      <c r="E686" s="146"/>
      <c r="F686" s="146"/>
      <c r="G686" s="146"/>
      <c r="H686" s="146"/>
      <c r="I686" s="146"/>
      <c r="J686" s="146"/>
      <c r="K686" s="146"/>
      <c r="L686" s="146"/>
    </row>
    <row r="687" spans="2:12" x14ac:dyDescent="0.2">
      <c r="B687" s="146"/>
      <c r="C687" s="146"/>
      <c r="D687" s="146"/>
      <c r="E687" s="146"/>
      <c r="F687" s="146"/>
      <c r="G687" s="146"/>
      <c r="H687" s="146"/>
      <c r="I687" s="146"/>
      <c r="J687" s="146"/>
      <c r="K687" s="146"/>
      <c r="L687" s="146"/>
    </row>
    <row r="688" spans="2:12" x14ac:dyDescent="0.2">
      <c r="B688" s="146"/>
      <c r="C688" s="146"/>
      <c r="D688" s="146"/>
      <c r="E688" s="146"/>
      <c r="F688" s="146"/>
      <c r="G688" s="146"/>
      <c r="H688" s="146"/>
      <c r="I688" s="146"/>
      <c r="J688" s="146"/>
      <c r="K688" s="146"/>
      <c r="L688" s="146"/>
    </row>
    <row r="689" spans="2:12" x14ac:dyDescent="0.2">
      <c r="B689" s="146"/>
      <c r="C689" s="146"/>
      <c r="D689" s="146"/>
      <c r="E689" s="146"/>
      <c r="F689" s="146"/>
      <c r="G689" s="146"/>
      <c r="H689" s="146"/>
      <c r="I689" s="146"/>
      <c r="J689" s="146"/>
      <c r="K689" s="146"/>
      <c r="L689" s="146"/>
    </row>
    <row r="690" spans="2:12" x14ac:dyDescent="0.2">
      <c r="B690" s="146"/>
      <c r="C690" s="146"/>
      <c r="D690" s="146"/>
      <c r="E690" s="146"/>
      <c r="F690" s="146"/>
      <c r="G690" s="146"/>
      <c r="H690" s="146"/>
      <c r="I690" s="146"/>
      <c r="J690" s="146"/>
      <c r="K690" s="146"/>
      <c r="L690" s="146"/>
    </row>
    <row r="691" spans="2:12" x14ac:dyDescent="0.2">
      <c r="B691" s="146"/>
      <c r="C691" s="146"/>
      <c r="D691" s="146"/>
      <c r="E691" s="146"/>
      <c r="F691" s="146"/>
      <c r="G691" s="146"/>
      <c r="H691" s="146"/>
      <c r="I691" s="146"/>
      <c r="J691" s="146"/>
      <c r="K691" s="146"/>
      <c r="L691" s="146"/>
    </row>
    <row r="692" spans="2:12" x14ac:dyDescent="0.2">
      <c r="B692" s="146"/>
      <c r="C692" s="146"/>
      <c r="D692" s="146"/>
      <c r="E692" s="146"/>
      <c r="F692" s="146"/>
      <c r="G692" s="146"/>
      <c r="H692" s="146"/>
      <c r="I692" s="146"/>
      <c r="J692" s="146"/>
      <c r="K692" s="146"/>
      <c r="L692" s="146"/>
    </row>
    <row r="693" spans="2:12" x14ac:dyDescent="0.2">
      <c r="B693" s="146"/>
      <c r="C693" s="146"/>
      <c r="D693" s="146"/>
      <c r="E693" s="146"/>
      <c r="F693" s="146"/>
      <c r="G693" s="146"/>
      <c r="H693" s="146"/>
      <c r="I693" s="146"/>
      <c r="J693" s="146"/>
      <c r="K693" s="146"/>
      <c r="L693" s="146"/>
    </row>
    <row r="694" spans="2:12" x14ac:dyDescent="0.2">
      <c r="B694" s="146"/>
      <c r="C694" s="146"/>
      <c r="D694" s="146"/>
      <c r="E694" s="146"/>
      <c r="F694" s="146"/>
      <c r="G694" s="146"/>
      <c r="H694" s="146"/>
      <c r="I694" s="146"/>
      <c r="J694" s="146"/>
      <c r="K694" s="146"/>
      <c r="L694" s="146"/>
    </row>
    <row r="695" spans="2:12" x14ac:dyDescent="0.2">
      <c r="B695" s="146"/>
      <c r="C695" s="146"/>
      <c r="D695" s="146"/>
      <c r="E695" s="146"/>
      <c r="F695" s="146"/>
      <c r="G695" s="146"/>
      <c r="H695" s="146"/>
      <c r="I695" s="146"/>
      <c r="J695" s="146"/>
      <c r="K695" s="146"/>
      <c r="L695" s="146"/>
    </row>
    <row r="696" spans="2:12" x14ac:dyDescent="0.2">
      <c r="B696" s="146"/>
      <c r="C696" s="146"/>
      <c r="D696" s="146"/>
      <c r="E696" s="146"/>
      <c r="F696" s="146"/>
      <c r="G696" s="146"/>
      <c r="H696" s="146"/>
      <c r="I696" s="146"/>
      <c r="J696" s="146"/>
      <c r="K696" s="146"/>
      <c r="L696" s="146"/>
    </row>
    <row r="697" spans="2:12" x14ac:dyDescent="0.2">
      <c r="B697" s="146"/>
      <c r="C697" s="146"/>
      <c r="D697" s="146"/>
      <c r="E697" s="146"/>
      <c r="F697" s="146"/>
      <c r="G697" s="146"/>
      <c r="H697" s="146"/>
      <c r="I697" s="146"/>
      <c r="J697" s="146"/>
      <c r="K697" s="146"/>
      <c r="L697" s="146"/>
    </row>
    <row r="698" spans="2:12" x14ac:dyDescent="0.2">
      <c r="B698" s="146"/>
      <c r="C698" s="146"/>
      <c r="D698" s="146"/>
      <c r="E698" s="146"/>
      <c r="F698" s="146"/>
      <c r="G698" s="146"/>
      <c r="H698" s="146"/>
      <c r="I698" s="146"/>
      <c r="J698" s="146"/>
      <c r="K698" s="146"/>
      <c r="L698" s="146"/>
    </row>
    <row r="699" spans="2:12" x14ac:dyDescent="0.2">
      <c r="B699" s="146"/>
      <c r="C699" s="146"/>
      <c r="D699" s="146"/>
      <c r="E699" s="146"/>
      <c r="F699" s="146"/>
      <c r="G699" s="146"/>
      <c r="H699" s="146"/>
      <c r="I699" s="146"/>
      <c r="J699" s="146"/>
      <c r="K699" s="146"/>
      <c r="L699" s="146"/>
    </row>
    <row r="700" spans="2:12" x14ac:dyDescent="0.2">
      <c r="B700" s="146"/>
      <c r="C700" s="146"/>
      <c r="D700" s="146"/>
      <c r="E700" s="146"/>
      <c r="F700" s="146"/>
      <c r="G700" s="146"/>
      <c r="H700" s="146"/>
      <c r="I700" s="146"/>
      <c r="J700" s="146"/>
      <c r="K700" s="146"/>
      <c r="L700" s="146"/>
    </row>
    <row r="701" spans="2:12" x14ac:dyDescent="0.2">
      <c r="B701" s="146"/>
      <c r="C701" s="146"/>
      <c r="D701" s="146"/>
      <c r="E701" s="146"/>
      <c r="F701" s="146"/>
      <c r="G701" s="146"/>
      <c r="H701" s="146"/>
      <c r="I701" s="146"/>
      <c r="J701" s="146"/>
      <c r="K701" s="146"/>
      <c r="L701" s="146"/>
    </row>
    <row r="702" spans="2:12" x14ac:dyDescent="0.2">
      <c r="B702" s="146"/>
      <c r="C702" s="146"/>
      <c r="D702" s="146"/>
      <c r="E702" s="146"/>
      <c r="F702" s="146"/>
      <c r="G702" s="146"/>
      <c r="H702" s="146"/>
      <c r="I702" s="146"/>
      <c r="J702" s="146"/>
      <c r="K702" s="146"/>
      <c r="L702" s="146"/>
    </row>
    <row r="703" spans="2:12" x14ac:dyDescent="0.2">
      <c r="B703" s="146"/>
      <c r="C703" s="146"/>
      <c r="D703" s="146"/>
      <c r="E703" s="146"/>
      <c r="F703" s="146"/>
      <c r="G703" s="146"/>
      <c r="H703" s="146"/>
      <c r="I703" s="146"/>
      <c r="J703" s="146"/>
      <c r="K703" s="146"/>
      <c r="L703" s="146"/>
    </row>
    <row r="704" spans="2:12" x14ac:dyDescent="0.2">
      <c r="B704" s="146"/>
      <c r="C704" s="146"/>
      <c r="D704" s="146"/>
      <c r="E704" s="146"/>
      <c r="F704" s="146"/>
      <c r="G704" s="146"/>
      <c r="H704" s="146"/>
      <c r="I704" s="146"/>
      <c r="J704" s="146"/>
      <c r="K704" s="146"/>
      <c r="L704" s="146"/>
    </row>
    <row r="705" spans="2:12" x14ac:dyDescent="0.2">
      <c r="B705" s="146"/>
      <c r="C705" s="146"/>
      <c r="D705" s="146"/>
      <c r="E705" s="146"/>
      <c r="F705" s="146"/>
      <c r="G705" s="146"/>
      <c r="H705" s="146"/>
      <c r="I705" s="146"/>
      <c r="J705" s="146"/>
      <c r="K705" s="146"/>
      <c r="L705" s="146"/>
    </row>
    <row r="706" spans="2:12" x14ac:dyDescent="0.2">
      <c r="B706" s="146"/>
      <c r="C706" s="146"/>
      <c r="D706" s="146"/>
      <c r="E706" s="146"/>
      <c r="F706" s="146"/>
      <c r="G706" s="146"/>
      <c r="H706" s="146"/>
      <c r="I706" s="146"/>
      <c r="J706" s="146"/>
      <c r="K706" s="146"/>
      <c r="L706" s="146"/>
    </row>
    <row r="707" spans="2:12" x14ac:dyDescent="0.2">
      <c r="B707" s="146"/>
      <c r="C707" s="146"/>
      <c r="D707" s="146"/>
      <c r="E707" s="146"/>
      <c r="F707" s="146"/>
      <c r="G707" s="146"/>
      <c r="H707" s="146"/>
      <c r="I707" s="146"/>
      <c r="J707" s="146"/>
      <c r="K707" s="146"/>
      <c r="L707" s="146"/>
    </row>
    <row r="708" spans="2:12" x14ac:dyDescent="0.2">
      <c r="B708" s="146"/>
      <c r="C708" s="146"/>
      <c r="D708" s="146"/>
      <c r="E708" s="146"/>
      <c r="F708" s="146"/>
      <c r="G708" s="146"/>
      <c r="H708" s="146"/>
      <c r="I708" s="146"/>
      <c r="J708" s="146"/>
      <c r="K708" s="146"/>
      <c r="L708" s="146"/>
    </row>
    <row r="709" spans="2:12" x14ac:dyDescent="0.2">
      <c r="B709" s="146"/>
      <c r="C709" s="146"/>
      <c r="D709" s="146"/>
      <c r="E709" s="146"/>
      <c r="F709" s="146"/>
      <c r="G709" s="146"/>
      <c r="H709" s="146"/>
      <c r="I709" s="146"/>
      <c r="J709" s="146"/>
      <c r="K709" s="146"/>
      <c r="L709" s="146"/>
    </row>
    <row r="710" spans="2:12" x14ac:dyDescent="0.2">
      <c r="B710" s="146"/>
      <c r="C710" s="146"/>
      <c r="D710" s="146"/>
      <c r="E710" s="146"/>
      <c r="F710" s="146"/>
      <c r="G710" s="146"/>
      <c r="H710" s="146"/>
      <c r="I710" s="146"/>
      <c r="J710" s="146"/>
      <c r="K710" s="146"/>
      <c r="L710" s="146"/>
    </row>
    <row r="711" spans="2:12" x14ac:dyDescent="0.2">
      <c r="B711" s="146"/>
      <c r="C711" s="146"/>
      <c r="D711" s="146"/>
      <c r="E711" s="146"/>
      <c r="F711" s="146"/>
      <c r="G711" s="146"/>
      <c r="H711" s="146"/>
      <c r="I711" s="146"/>
      <c r="J711" s="146"/>
      <c r="K711" s="146"/>
      <c r="L711" s="146"/>
    </row>
    <row r="712" spans="2:12" x14ac:dyDescent="0.2">
      <c r="B712" s="146"/>
      <c r="C712" s="146"/>
      <c r="D712" s="146"/>
      <c r="E712" s="146"/>
      <c r="F712" s="146"/>
      <c r="G712" s="146"/>
      <c r="H712" s="146"/>
      <c r="I712" s="146"/>
      <c r="J712" s="146"/>
      <c r="K712" s="146"/>
      <c r="L712" s="146"/>
    </row>
    <row r="713" spans="2:12" x14ac:dyDescent="0.2">
      <c r="B713" s="146"/>
      <c r="C713" s="146"/>
      <c r="D713" s="146"/>
      <c r="E713" s="146"/>
      <c r="F713" s="146"/>
      <c r="G713" s="146"/>
      <c r="H713" s="146"/>
      <c r="I713" s="146"/>
      <c r="J713" s="146"/>
      <c r="K713" s="146"/>
      <c r="L713" s="146"/>
    </row>
    <row r="714" spans="2:12" x14ac:dyDescent="0.2">
      <c r="B714" s="146"/>
      <c r="C714" s="146"/>
      <c r="D714" s="146"/>
      <c r="E714" s="146"/>
      <c r="F714" s="146"/>
      <c r="G714" s="146"/>
      <c r="H714" s="146"/>
      <c r="I714" s="146"/>
      <c r="J714" s="146"/>
      <c r="K714" s="146"/>
      <c r="L714" s="146"/>
    </row>
    <row r="715" spans="2:12" x14ac:dyDescent="0.2">
      <c r="B715" s="146"/>
      <c r="C715" s="146"/>
      <c r="D715" s="146"/>
      <c r="E715" s="146"/>
      <c r="F715" s="146"/>
      <c r="G715" s="146"/>
      <c r="H715" s="146"/>
      <c r="I715" s="146"/>
      <c r="J715" s="146"/>
      <c r="K715" s="146"/>
      <c r="L715" s="146"/>
    </row>
    <row r="716" spans="2:12" x14ac:dyDescent="0.2">
      <c r="B716" s="146"/>
      <c r="C716" s="146"/>
      <c r="D716" s="146"/>
      <c r="E716" s="146"/>
      <c r="F716" s="146"/>
      <c r="G716" s="146"/>
      <c r="H716" s="146"/>
      <c r="I716" s="146"/>
      <c r="J716" s="146"/>
      <c r="K716" s="146"/>
      <c r="L716" s="146"/>
    </row>
    <row r="717" spans="2:12" x14ac:dyDescent="0.2">
      <c r="B717" s="146"/>
      <c r="C717" s="146"/>
      <c r="D717" s="146"/>
      <c r="E717" s="146"/>
      <c r="F717" s="146"/>
      <c r="G717" s="146"/>
      <c r="H717" s="146"/>
      <c r="I717" s="146"/>
      <c r="J717" s="146"/>
      <c r="K717" s="146"/>
      <c r="L717" s="146"/>
    </row>
    <row r="718" spans="2:12" x14ac:dyDescent="0.2">
      <c r="B718" s="146"/>
      <c r="C718" s="146"/>
      <c r="D718" s="146"/>
      <c r="E718" s="146"/>
      <c r="F718" s="146"/>
      <c r="G718" s="146"/>
      <c r="H718" s="146"/>
      <c r="I718" s="146"/>
      <c r="J718" s="146"/>
      <c r="K718" s="146"/>
      <c r="L718" s="146"/>
    </row>
    <row r="719" spans="2:12" x14ac:dyDescent="0.2">
      <c r="B719" s="146"/>
      <c r="C719" s="146"/>
      <c r="D719" s="146"/>
      <c r="E719" s="146"/>
      <c r="F719" s="146"/>
      <c r="G719" s="146"/>
      <c r="H719" s="146"/>
      <c r="I719" s="146"/>
      <c r="J719" s="146"/>
      <c r="K719" s="146"/>
      <c r="L719" s="146"/>
    </row>
    <row r="720" spans="2:12" x14ac:dyDescent="0.2">
      <c r="B720" s="146"/>
      <c r="C720" s="146"/>
      <c r="D720" s="146"/>
      <c r="E720" s="146"/>
      <c r="F720" s="146"/>
      <c r="G720" s="146"/>
      <c r="H720" s="146"/>
      <c r="I720" s="146"/>
      <c r="J720" s="146"/>
      <c r="K720" s="146"/>
      <c r="L720" s="146"/>
    </row>
    <row r="721" spans="2:12" x14ac:dyDescent="0.2">
      <c r="B721" s="146"/>
      <c r="C721" s="146"/>
      <c r="D721" s="146"/>
      <c r="E721" s="146"/>
      <c r="F721" s="146"/>
      <c r="G721" s="146"/>
      <c r="H721" s="146"/>
      <c r="I721" s="146"/>
      <c r="J721" s="146"/>
      <c r="K721" s="146"/>
      <c r="L721" s="146"/>
    </row>
    <row r="722" spans="2:12" x14ac:dyDescent="0.2">
      <c r="B722" s="146"/>
      <c r="C722" s="146"/>
      <c r="D722" s="146"/>
      <c r="E722" s="146"/>
      <c r="F722" s="146"/>
      <c r="G722" s="146"/>
      <c r="H722" s="146"/>
      <c r="I722" s="146"/>
      <c r="J722" s="146"/>
      <c r="K722" s="146"/>
      <c r="L722" s="146"/>
    </row>
    <row r="723" spans="2:12" x14ac:dyDescent="0.2">
      <c r="B723" s="146"/>
      <c r="C723" s="146"/>
      <c r="D723" s="146"/>
      <c r="E723" s="146"/>
      <c r="F723" s="146"/>
      <c r="G723" s="146"/>
      <c r="H723" s="146"/>
      <c r="I723" s="146"/>
      <c r="J723" s="146"/>
      <c r="K723" s="146"/>
      <c r="L723" s="146"/>
    </row>
    <row r="724" spans="2:12" x14ac:dyDescent="0.2">
      <c r="B724" s="146"/>
      <c r="C724" s="146"/>
      <c r="D724" s="146"/>
      <c r="E724" s="146"/>
      <c r="F724" s="146"/>
      <c r="G724" s="146"/>
      <c r="H724" s="146"/>
      <c r="I724" s="146"/>
      <c r="J724" s="146"/>
      <c r="K724" s="146"/>
      <c r="L724" s="146"/>
    </row>
    <row r="725" spans="2:12" x14ac:dyDescent="0.2">
      <c r="B725" s="146"/>
      <c r="C725" s="146"/>
      <c r="D725" s="146"/>
      <c r="E725" s="146"/>
      <c r="F725" s="146"/>
      <c r="G725" s="146"/>
      <c r="H725" s="146"/>
      <c r="I725" s="146"/>
      <c r="J725" s="146"/>
      <c r="K725" s="146"/>
      <c r="L725" s="146"/>
    </row>
    <row r="726" spans="2:12" x14ac:dyDescent="0.2">
      <c r="B726" s="146"/>
      <c r="C726" s="146"/>
      <c r="D726" s="146"/>
      <c r="E726" s="146"/>
      <c r="F726" s="146"/>
      <c r="G726" s="146"/>
      <c r="H726" s="146"/>
      <c r="I726" s="146"/>
      <c r="J726" s="146"/>
      <c r="K726" s="146"/>
      <c r="L726" s="146"/>
    </row>
    <row r="727" spans="2:12" x14ac:dyDescent="0.2">
      <c r="B727" s="146"/>
      <c r="C727" s="146"/>
      <c r="D727" s="146"/>
      <c r="E727" s="146"/>
      <c r="F727" s="146"/>
      <c r="G727" s="146"/>
      <c r="H727" s="146"/>
      <c r="I727" s="146"/>
      <c r="J727" s="146"/>
      <c r="K727" s="146"/>
      <c r="L727" s="146"/>
    </row>
    <row r="728" spans="2:12" x14ac:dyDescent="0.2">
      <c r="B728" s="146"/>
      <c r="C728" s="146"/>
      <c r="D728" s="146"/>
      <c r="E728" s="146"/>
      <c r="F728" s="146"/>
      <c r="G728" s="146"/>
      <c r="H728" s="146"/>
      <c r="I728" s="146"/>
      <c r="J728" s="146"/>
      <c r="K728" s="146"/>
      <c r="L728" s="146"/>
    </row>
    <row r="729" spans="2:12" x14ac:dyDescent="0.2">
      <c r="B729" s="146"/>
      <c r="C729" s="146"/>
      <c r="D729" s="146"/>
      <c r="E729" s="146"/>
      <c r="F729" s="146"/>
      <c r="G729" s="146"/>
      <c r="H729" s="146"/>
      <c r="I729" s="146"/>
      <c r="J729" s="146"/>
      <c r="K729" s="146"/>
      <c r="L729" s="146"/>
    </row>
    <row r="730" spans="2:12" x14ac:dyDescent="0.2">
      <c r="B730" s="146"/>
      <c r="C730" s="146"/>
      <c r="D730" s="146"/>
      <c r="E730" s="146"/>
      <c r="F730" s="146"/>
      <c r="G730" s="146"/>
      <c r="H730" s="146"/>
      <c r="I730" s="146"/>
      <c r="J730" s="146"/>
      <c r="K730" s="146"/>
      <c r="L730" s="146"/>
    </row>
    <row r="731" spans="2:12" x14ac:dyDescent="0.2">
      <c r="B731" s="146"/>
      <c r="C731" s="146"/>
      <c r="D731" s="146"/>
      <c r="E731" s="146"/>
      <c r="F731" s="146"/>
      <c r="G731" s="146"/>
      <c r="H731" s="146"/>
      <c r="I731" s="146"/>
      <c r="J731" s="146"/>
      <c r="K731" s="146"/>
      <c r="L731" s="146"/>
    </row>
    <row r="732" spans="2:12" x14ac:dyDescent="0.2">
      <c r="B732" s="146"/>
      <c r="C732" s="146"/>
      <c r="D732" s="146"/>
      <c r="E732" s="146"/>
      <c r="F732" s="146"/>
      <c r="G732" s="146"/>
      <c r="H732" s="146"/>
      <c r="I732" s="146"/>
      <c r="J732" s="146"/>
      <c r="K732" s="146"/>
      <c r="L732" s="146"/>
    </row>
    <row r="733" spans="2:12" x14ac:dyDescent="0.2">
      <c r="B733" s="146"/>
      <c r="C733" s="146"/>
      <c r="D733" s="146"/>
      <c r="E733" s="146"/>
      <c r="F733" s="146"/>
      <c r="G733" s="146"/>
      <c r="H733" s="146"/>
      <c r="I733" s="146"/>
      <c r="J733" s="146"/>
      <c r="K733" s="146"/>
      <c r="L733" s="146"/>
    </row>
    <row r="734" spans="2:12" x14ac:dyDescent="0.2">
      <c r="B734" s="146"/>
      <c r="C734" s="146"/>
      <c r="D734" s="146"/>
      <c r="E734" s="146"/>
      <c r="F734" s="146"/>
      <c r="G734" s="146"/>
      <c r="H734" s="146"/>
      <c r="I734" s="146"/>
      <c r="J734" s="146"/>
      <c r="K734" s="146"/>
      <c r="L734" s="146"/>
    </row>
    <row r="735" spans="2:12" x14ac:dyDescent="0.2">
      <c r="B735" s="146"/>
      <c r="C735" s="146"/>
      <c r="D735" s="146"/>
      <c r="E735" s="146"/>
      <c r="F735" s="146"/>
      <c r="G735" s="146"/>
      <c r="H735" s="146"/>
      <c r="I735" s="146"/>
      <c r="J735" s="146"/>
      <c r="K735" s="146"/>
      <c r="L735" s="146"/>
    </row>
    <row r="736" spans="2:12" x14ac:dyDescent="0.2">
      <c r="B736" s="146"/>
      <c r="C736" s="146"/>
      <c r="D736" s="146"/>
      <c r="E736" s="146"/>
      <c r="F736" s="146"/>
      <c r="G736" s="146"/>
      <c r="H736" s="146"/>
      <c r="I736" s="146"/>
      <c r="J736" s="146"/>
      <c r="K736" s="146"/>
      <c r="L736" s="146"/>
    </row>
    <row r="737" spans="2:12" x14ac:dyDescent="0.2">
      <c r="B737" s="146"/>
      <c r="C737" s="146"/>
      <c r="D737" s="146"/>
      <c r="E737" s="146"/>
      <c r="F737" s="146"/>
      <c r="G737" s="146"/>
      <c r="H737" s="146"/>
      <c r="I737" s="146"/>
      <c r="J737" s="146"/>
      <c r="K737" s="146"/>
      <c r="L737" s="146"/>
    </row>
    <row r="738" spans="2:12" x14ac:dyDescent="0.2">
      <c r="B738" s="146"/>
      <c r="C738" s="146"/>
      <c r="D738" s="146"/>
      <c r="E738" s="146"/>
      <c r="F738" s="146"/>
      <c r="G738" s="146"/>
      <c r="H738" s="146"/>
      <c r="I738" s="146"/>
      <c r="J738" s="146"/>
      <c r="K738" s="146"/>
      <c r="L738" s="146"/>
    </row>
    <row r="739" spans="2:12" x14ac:dyDescent="0.2">
      <c r="B739" s="146"/>
      <c r="C739" s="146"/>
      <c r="D739" s="146"/>
      <c r="E739" s="146"/>
      <c r="F739" s="146"/>
      <c r="G739" s="146"/>
      <c r="H739" s="146"/>
      <c r="I739" s="146"/>
      <c r="J739" s="146"/>
      <c r="K739" s="146"/>
      <c r="L739" s="146"/>
    </row>
    <row r="740" spans="2:12" x14ac:dyDescent="0.2">
      <c r="B740" s="146"/>
      <c r="C740" s="146"/>
      <c r="D740" s="146"/>
      <c r="E740" s="146"/>
      <c r="F740" s="146"/>
      <c r="G740" s="146"/>
      <c r="H740" s="146"/>
      <c r="I740" s="146"/>
      <c r="J740" s="146"/>
      <c r="K740" s="146"/>
      <c r="L740" s="146"/>
    </row>
    <row r="741" spans="2:12" x14ac:dyDescent="0.2">
      <c r="B741" s="146"/>
      <c r="C741" s="146"/>
      <c r="D741" s="146"/>
      <c r="E741" s="146"/>
      <c r="F741" s="146"/>
      <c r="G741" s="146"/>
      <c r="H741" s="146"/>
      <c r="I741" s="146"/>
      <c r="J741" s="146"/>
      <c r="K741" s="146"/>
      <c r="L741" s="146"/>
    </row>
    <row r="742" spans="2:12" x14ac:dyDescent="0.2">
      <c r="B742" s="146"/>
      <c r="C742" s="146"/>
      <c r="D742" s="146"/>
      <c r="E742" s="146"/>
      <c r="F742" s="146"/>
      <c r="G742" s="146"/>
      <c r="H742" s="146"/>
      <c r="I742" s="146"/>
      <c r="J742" s="146"/>
      <c r="K742" s="146"/>
      <c r="L742" s="146"/>
    </row>
    <row r="743" spans="2:12" x14ac:dyDescent="0.2">
      <c r="B743" s="146"/>
      <c r="C743" s="146"/>
      <c r="D743" s="146"/>
      <c r="E743" s="146"/>
      <c r="F743" s="146"/>
      <c r="G743" s="146"/>
      <c r="H743" s="146"/>
      <c r="I743" s="146"/>
      <c r="J743" s="146"/>
      <c r="K743" s="146"/>
      <c r="L743" s="146"/>
    </row>
    <row r="744" spans="2:12" x14ac:dyDescent="0.2">
      <c r="B744" s="146"/>
      <c r="C744" s="146"/>
      <c r="D744" s="146"/>
      <c r="E744" s="146"/>
      <c r="F744" s="146"/>
      <c r="G744" s="146"/>
      <c r="H744" s="146"/>
      <c r="I744" s="146"/>
      <c r="J744" s="146"/>
      <c r="K744" s="146"/>
      <c r="L744" s="146"/>
    </row>
    <row r="745" spans="2:12" x14ac:dyDescent="0.2">
      <c r="B745" s="146"/>
      <c r="C745" s="146"/>
      <c r="D745" s="146"/>
      <c r="E745" s="146"/>
      <c r="F745" s="146"/>
      <c r="G745" s="146"/>
      <c r="H745" s="146"/>
      <c r="I745" s="146"/>
      <c r="J745" s="146"/>
      <c r="K745" s="146"/>
      <c r="L745" s="146"/>
    </row>
    <row r="746" spans="2:12" x14ac:dyDescent="0.2">
      <c r="B746" s="146"/>
      <c r="C746" s="146"/>
      <c r="D746" s="146"/>
      <c r="E746" s="146"/>
      <c r="F746" s="146"/>
      <c r="G746" s="146"/>
      <c r="H746" s="146"/>
      <c r="I746" s="146"/>
      <c r="J746" s="146"/>
      <c r="K746" s="146"/>
      <c r="L746" s="146"/>
    </row>
    <row r="747" spans="2:12" x14ac:dyDescent="0.2">
      <c r="B747" s="146"/>
      <c r="C747" s="146"/>
      <c r="D747" s="146"/>
      <c r="E747" s="146"/>
      <c r="F747" s="146"/>
      <c r="G747" s="146"/>
      <c r="H747" s="146"/>
      <c r="I747" s="146"/>
      <c r="J747" s="146"/>
      <c r="K747" s="146"/>
      <c r="L747" s="146"/>
    </row>
    <row r="748" spans="2:12" x14ac:dyDescent="0.2">
      <c r="B748" s="146"/>
      <c r="C748" s="146"/>
      <c r="D748" s="146"/>
      <c r="E748" s="146"/>
      <c r="F748" s="146"/>
      <c r="G748" s="146"/>
      <c r="H748" s="146"/>
      <c r="I748" s="146"/>
      <c r="J748" s="146"/>
      <c r="K748" s="146"/>
      <c r="L748" s="146"/>
    </row>
    <row r="749" spans="2:12" x14ac:dyDescent="0.2">
      <c r="B749" s="146"/>
      <c r="C749" s="146"/>
      <c r="D749" s="146"/>
      <c r="E749" s="146"/>
      <c r="F749" s="146"/>
      <c r="G749" s="146"/>
      <c r="H749" s="146"/>
      <c r="I749" s="146"/>
      <c r="J749" s="146"/>
      <c r="K749" s="146"/>
      <c r="L749" s="146"/>
    </row>
    <row r="750" spans="2:12" x14ac:dyDescent="0.2">
      <c r="B750" s="146"/>
      <c r="C750" s="146"/>
      <c r="D750" s="146"/>
      <c r="E750" s="146"/>
      <c r="F750" s="146"/>
      <c r="G750" s="146"/>
      <c r="H750" s="146"/>
      <c r="I750" s="146"/>
      <c r="J750" s="146"/>
      <c r="K750" s="146"/>
      <c r="L750" s="146"/>
    </row>
    <row r="751" spans="2:12" x14ac:dyDescent="0.2">
      <c r="B751" s="146"/>
      <c r="C751" s="146"/>
      <c r="D751" s="146"/>
      <c r="E751" s="146"/>
      <c r="F751" s="146"/>
      <c r="G751" s="146"/>
      <c r="H751" s="146"/>
      <c r="I751" s="146"/>
      <c r="J751" s="146"/>
      <c r="K751" s="146"/>
      <c r="L751" s="146"/>
    </row>
    <row r="752" spans="2:12" x14ac:dyDescent="0.2">
      <c r="B752" s="146"/>
      <c r="C752" s="146"/>
      <c r="D752" s="146"/>
      <c r="E752" s="146"/>
      <c r="F752" s="146"/>
      <c r="G752" s="146"/>
      <c r="H752" s="146"/>
      <c r="I752" s="146"/>
      <c r="J752" s="146"/>
      <c r="K752" s="146"/>
      <c r="L752" s="146"/>
    </row>
    <row r="753" spans="2:12" x14ac:dyDescent="0.2">
      <c r="B753" s="146"/>
      <c r="C753" s="146"/>
      <c r="D753" s="146"/>
      <c r="E753" s="146"/>
      <c r="F753" s="146"/>
      <c r="G753" s="146"/>
      <c r="H753" s="146"/>
      <c r="I753" s="146"/>
      <c r="J753" s="146"/>
      <c r="K753" s="146"/>
      <c r="L753" s="146"/>
    </row>
    <row r="754" spans="2:12" x14ac:dyDescent="0.2">
      <c r="B754" s="146"/>
      <c r="C754" s="146"/>
      <c r="D754" s="146"/>
      <c r="E754" s="146"/>
      <c r="F754" s="146"/>
      <c r="G754" s="146"/>
      <c r="H754" s="146"/>
      <c r="I754" s="146"/>
      <c r="J754" s="146"/>
      <c r="K754" s="146"/>
      <c r="L754" s="146"/>
    </row>
    <row r="755" spans="2:12" x14ac:dyDescent="0.2">
      <c r="B755" s="146"/>
      <c r="C755" s="146"/>
      <c r="D755" s="146"/>
      <c r="E755" s="146"/>
      <c r="F755" s="146"/>
      <c r="G755" s="146"/>
      <c r="H755" s="146"/>
      <c r="I755" s="146"/>
      <c r="J755" s="146"/>
      <c r="K755" s="146"/>
      <c r="L755" s="146"/>
    </row>
    <row r="756" spans="2:12" x14ac:dyDescent="0.2">
      <c r="B756" s="146"/>
      <c r="C756" s="146"/>
      <c r="D756" s="146"/>
      <c r="E756" s="146"/>
      <c r="F756" s="146"/>
      <c r="G756" s="146"/>
      <c r="H756" s="146"/>
      <c r="I756" s="146"/>
      <c r="J756" s="146"/>
      <c r="K756" s="146"/>
      <c r="L756" s="146"/>
    </row>
    <row r="757" spans="2:12" x14ac:dyDescent="0.2">
      <c r="B757" s="146"/>
      <c r="C757" s="146"/>
      <c r="D757" s="146"/>
      <c r="E757" s="146"/>
      <c r="F757" s="146"/>
      <c r="G757" s="146"/>
      <c r="H757" s="146"/>
      <c r="I757" s="146"/>
      <c r="J757" s="146"/>
      <c r="K757" s="146"/>
      <c r="L757" s="146"/>
    </row>
    <row r="758" spans="2:12" x14ac:dyDescent="0.2">
      <c r="B758" s="146"/>
      <c r="C758" s="146"/>
      <c r="D758" s="146"/>
      <c r="E758" s="146"/>
      <c r="F758" s="146"/>
      <c r="G758" s="146"/>
      <c r="H758" s="146"/>
      <c r="I758" s="146"/>
      <c r="J758" s="146"/>
      <c r="K758" s="146"/>
      <c r="L758" s="146"/>
    </row>
    <row r="759" spans="2:12" x14ac:dyDescent="0.2">
      <c r="B759" s="146"/>
      <c r="C759" s="146"/>
      <c r="D759" s="146"/>
      <c r="E759" s="146"/>
      <c r="F759" s="146"/>
      <c r="G759" s="146"/>
      <c r="H759" s="146"/>
      <c r="I759" s="146"/>
      <c r="J759" s="146"/>
      <c r="K759" s="146"/>
      <c r="L759" s="146"/>
    </row>
    <row r="760" spans="2:12" x14ac:dyDescent="0.2">
      <c r="B760" s="146"/>
      <c r="C760" s="146"/>
      <c r="D760" s="146"/>
      <c r="E760" s="146"/>
      <c r="F760" s="146"/>
      <c r="G760" s="146"/>
      <c r="H760" s="146"/>
      <c r="I760" s="146"/>
      <c r="J760" s="146"/>
      <c r="K760" s="146"/>
      <c r="L760" s="146"/>
    </row>
    <row r="761" spans="2:12" x14ac:dyDescent="0.2">
      <c r="B761" s="146"/>
      <c r="C761" s="146"/>
      <c r="D761" s="146"/>
      <c r="E761" s="146"/>
      <c r="F761" s="146"/>
      <c r="G761" s="146"/>
      <c r="H761" s="146"/>
      <c r="I761" s="146"/>
      <c r="J761" s="146"/>
      <c r="K761" s="146"/>
      <c r="L761" s="146"/>
    </row>
    <row r="762" spans="2:12" x14ac:dyDescent="0.2">
      <c r="B762" s="146"/>
      <c r="C762" s="146"/>
      <c r="D762" s="146"/>
      <c r="E762" s="146"/>
      <c r="F762" s="146"/>
      <c r="G762" s="146"/>
      <c r="H762" s="146"/>
      <c r="I762" s="146"/>
      <c r="J762" s="146"/>
      <c r="K762" s="146"/>
      <c r="L762" s="146"/>
    </row>
    <row r="763" spans="2:12" x14ac:dyDescent="0.2">
      <c r="B763" s="146"/>
      <c r="C763" s="146"/>
      <c r="D763" s="146"/>
      <c r="E763" s="146"/>
      <c r="F763" s="146"/>
      <c r="G763" s="146"/>
      <c r="H763" s="146"/>
      <c r="I763" s="146"/>
      <c r="J763" s="146"/>
      <c r="K763" s="146"/>
      <c r="L763" s="146"/>
    </row>
    <row r="764" spans="2:12" x14ac:dyDescent="0.2">
      <c r="B764" s="146"/>
      <c r="C764" s="146"/>
      <c r="D764" s="146"/>
      <c r="E764" s="146"/>
      <c r="F764" s="146"/>
      <c r="G764" s="146"/>
      <c r="H764" s="146"/>
      <c r="I764" s="146"/>
      <c r="J764" s="146"/>
      <c r="K764" s="146"/>
      <c r="L764" s="146"/>
    </row>
    <row r="765" spans="2:12" x14ac:dyDescent="0.2">
      <c r="B765" s="146"/>
      <c r="C765" s="146"/>
      <c r="D765" s="146"/>
      <c r="E765" s="146"/>
      <c r="F765" s="146"/>
      <c r="G765" s="146"/>
      <c r="H765" s="146"/>
      <c r="I765" s="146"/>
      <c r="J765" s="146"/>
      <c r="K765" s="146"/>
      <c r="L765" s="146"/>
    </row>
    <row r="766" spans="2:12" x14ac:dyDescent="0.2">
      <c r="B766" s="146"/>
      <c r="C766" s="146"/>
      <c r="D766" s="146"/>
      <c r="E766" s="146"/>
      <c r="F766" s="146"/>
      <c r="G766" s="146"/>
      <c r="H766" s="146"/>
      <c r="I766" s="146"/>
      <c r="J766" s="146"/>
      <c r="K766" s="146"/>
      <c r="L766" s="146"/>
    </row>
    <row r="767" spans="2:12" x14ac:dyDescent="0.2">
      <c r="B767" s="146"/>
      <c r="C767" s="146"/>
      <c r="D767" s="146"/>
      <c r="E767" s="146"/>
      <c r="F767" s="146"/>
      <c r="G767" s="146"/>
      <c r="H767" s="146"/>
      <c r="I767" s="146"/>
      <c r="J767" s="146"/>
      <c r="K767" s="146"/>
      <c r="L767" s="146"/>
    </row>
    <row r="768" spans="2:12" x14ac:dyDescent="0.2">
      <c r="B768" s="146"/>
      <c r="C768" s="146"/>
      <c r="D768" s="146"/>
      <c r="E768" s="146"/>
      <c r="F768" s="146"/>
      <c r="G768" s="146"/>
      <c r="H768" s="146"/>
      <c r="I768" s="146"/>
      <c r="J768" s="146"/>
      <c r="K768" s="146"/>
      <c r="L768" s="146"/>
    </row>
    <row r="769" spans="2:12" x14ac:dyDescent="0.2">
      <c r="B769" s="146"/>
      <c r="C769" s="146"/>
      <c r="D769" s="146"/>
      <c r="E769" s="146"/>
      <c r="F769" s="146"/>
      <c r="G769" s="146"/>
      <c r="H769" s="146"/>
      <c r="I769" s="146"/>
      <c r="J769" s="146"/>
      <c r="K769" s="146"/>
      <c r="L769" s="146"/>
    </row>
    <row r="770" spans="2:12" x14ac:dyDescent="0.2">
      <c r="B770" s="146"/>
      <c r="C770" s="146"/>
      <c r="D770" s="146"/>
      <c r="E770" s="146"/>
      <c r="F770" s="146"/>
      <c r="G770" s="146"/>
      <c r="H770" s="146"/>
      <c r="I770" s="146"/>
      <c r="J770" s="146"/>
      <c r="K770" s="146"/>
      <c r="L770" s="146"/>
    </row>
    <row r="771" spans="2:12" x14ac:dyDescent="0.2">
      <c r="B771" s="146"/>
      <c r="C771" s="146"/>
      <c r="D771" s="146"/>
      <c r="E771" s="146"/>
      <c r="F771" s="146"/>
      <c r="G771" s="146"/>
      <c r="H771" s="146"/>
      <c r="I771" s="146"/>
      <c r="J771" s="146"/>
      <c r="K771" s="146"/>
      <c r="L771" s="146"/>
    </row>
    <row r="772" spans="2:12" x14ac:dyDescent="0.2">
      <c r="B772" s="146"/>
      <c r="C772" s="146"/>
      <c r="D772" s="146"/>
      <c r="E772" s="146"/>
      <c r="F772" s="146"/>
      <c r="G772" s="146"/>
      <c r="H772" s="146"/>
      <c r="I772" s="146"/>
      <c r="J772" s="146"/>
      <c r="K772" s="146"/>
      <c r="L772" s="146"/>
    </row>
    <row r="773" spans="2:12" x14ac:dyDescent="0.2">
      <c r="B773" s="146"/>
      <c r="C773" s="146"/>
      <c r="D773" s="146"/>
      <c r="E773" s="146"/>
      <c r="F773" s="146"/>
      <c r="G773" s="146"/>
      <c r="H773" s="146"/>
      <c r="I773" s="146"/>
      <c r="J773" s="146"/>
      <c r="K773" s="146"/>
      <c r="L773" s="146"/>
    </row>
    <row r="774" spans="2:12" x14ac:dyDescent="0.2">
      <c r="B774" s="146"/>
      <c r="C774" s="146"/>
      <c r="D774" s="146"/>
      <c r="E774" s="146"/>
      <c r="F774" s="146"/>
      <c r="G774" s="146"/>
      <c r="H774" s="146"/>
      <c r="I774" s="146"/>
      <c r="J774" s="146"/>
      <c r="K774" s="146"/>
      <c r="L774" s="146"/>
    </row>
    <row r="775" spans="2:12" x14ac:dyDescent="0.2">
      <c r="B775" s="146"/>
      <c r="C775" s="146"/>
      <c r="D775" s="146"/>
      <c r="E775" s="146"/>
      <c r="F775" s="146"/>
      <c r="G775" s="146"/>
      <c r="H775" s="146"/>
      <c r="I775" s="146"/>
      <c r="J775" s="146"/>
      <c r="K775" s="146"/>
      <c r="L775" s="146"/>
    </row>
    <row r="776" spans="2:12" x14ac:dyDescent="0.2">
      <c r="B776" s="146"/>
      <c r="C776" s="146"/>
      <c r="D776" s="146"/>
      <c r="E776" s="146"/>
      <c r="F776" s="146"/>
      <c r="G776" s="146"/>
      <c r="H776" s="146"/>
      <c r="I776" s="146"/>
      <c r="J776" s="146"/>
      <c r="K776" s="146"/>
      <c r="L776" s="146"/>
    </row>
    <row r="777" spans="2:12" x14ac:dyDescent="0.2">
      <c r="B777" s="146"/>
      <c r="C777" s="146"/>
      <c r="D777" s="146"/>
      <c r="E777" s="146"/>
      <c r="F777" s="146"/>
      <c r="G777" s="146"/>
      <c r="H777" s="146"/>
      <c r="I777" s="146"/>
      <c r="J777" s="146"/>
      <c r="K777" s="146"/>
      <c r="L777" s="146"/>
    </row>
    <row r="778" spans="2:12" x14ac:dyDescent="0.2">
      <c r="B778" s="146"/>
      <c r="C778" s="146"/>
      <c r="D778" s="146"/>
      <c r="E778" s="146"/>
      <c r="F778" s="146"/>
      <c r="G778" s="146"/>
      <c r="H778" s="146"/>
      <c r="I778" s="146"/>
      <c r="J778" s="146"/>
      <c r="K778" s="146"/>
      <c r="L778" s="146"/>
    </row>
    <row r="779" spans="2:12" x14ac:dyDescent="0.2">
      <c r="B779" s="146"/>
      <c r="C779" s="146"/>
      <c r="D779" s="146"/>
      <c r="E779" s="146"/>
      <c r="F779" s="146"/>
      <c r="G779" s="146"/>
      <c r="H779" s="146"/>
      <c r="I779" s="146"/>
      <c r="J779" s="146"/>
      <c r="K779" s="146"/>
      <c r="L779" s="146"/>
    </row>
    <row r="780" spans="2:12" x14ac:dyDescent="0.2">
      <c r="B780" s="146"/>
      <c r="C780" s="146"/>
      <c r="D780" s="146"/>
      <c r="E780" s="146"/>
      <c r="F780" s="146"/>
      <c r="G780" s="146"/>
      <c r="H780" s="146"/>
      <c r="I780" s="146"/>
      <c r="J780" s="146"/>
      <c r="K780" s="146"/>
      <c r="L780" s="146"/>
    </row>
    <row r="781" spans="2:12" x14ac:dyDescent="0.2">
      <c r="B781" s="146"/>
      <c r="C781" s="146"/>
      <c r="D781" s="146"/>
      <c r="E781" s="146"/>
      <c r="F781" s="146"/>
      <c r="G781" s="146"/>
      <c r="H781" s="146"/>
      <c r="I781" s="146"/>
      <c r="J781" s="146"/>
      <c r="K781" s="146"/>
      <c r="L781" s="146"/>
    </row>
    <row r="782" spans="2:12" x14ac:dyDescent="0.2">
      <c r="B782" s="146"/>
      <c r="C782" s="146"/>
      <c r="D782" s="146"/>
      <c r="E782" s="146"/>
      <c r="F782" s="146"/>
      <c r="G782" s="146"/>
      <c r="H782" s="146"/>
      <c r="I782" s="146"/>
      <c r="J782" s="146"/>
      <c r="K782" s="146"/>
      <c r="L782" s="146"/>
    </row>
    <row r="783" spans="2:12" x14ac:dyDescent="0.2">
      <c r="B783" s="146"/>
      <c r="C783" s="146"/>
      <c r="D783" s="146"/>
      <c r="E783" s="146"/>
      <c r="F783" s="146"/>
      <c r="G783" s="146"/>
      <c r="H783" s="146"/>
      <c r="I783" s="146"/>
      <c r="J783" s="146"/>
      <c r="K783" s="146"/>
      <c r="L783" s="146"/>
    </row>
    <row r="784" spans="2:12" x14ac:dyDescent="0.2">
      <c r="B784" s="146"/>
      <c r="C784" s="146"/>
      <c r="D784" s="146"/>
      <c r="E784" s="146"/>
      <c r="F784" s="146"/>
      <c r="G784" s="146"/>
      <c r="H784" s="146"/>
      <c r="I784" s="146"/>
      <c r="J784" s="146"/>
      <c r="K784" s="146"/>
      <c r="L784" s="146"/>
    </row>
    <row r="785" spans="2:12" x14ac:dyDescent="0.2">
      <c r="B785" s="146"/>
      <c r="C785" s="146"/>
      <c r="D785" s="146"/>
      <c r="E785" s="146"/>
      <c r="F785" s="146"/>
      <c r="G785" s="146"/>
      <c r="H785" s="146"/>
      <c r="I785" s="146"/>
      <c r="J785" s="146"/>
      <c r="K785" s="146"/>
      <c r="L785" s="146"/>
    </row>
    <row r="786" spans="2:12" x14ac:dyDescent="0.2">
      <c r="B786" s="146"/>
      <c r="C786" s="146"/>
      <c r="D786" s="146"/>
      <c r="E786" s="146"/>
      <c r="F786" s="146"/>
      <c r="G786" s="146"/>
      <c r="H786" s="146"/>
      <c r="I786" s="146"/>
      <c r="J786" s="146"/>
      <c r="K786" s="146"/>
      <c r="L786" s="146"/>
    </row>
    <row r="787" spans="2:12" x14ac:dyDescent="0.2">
      <c r="B787" s="146"/>
      <c r="C787" s="146"/>
      <c r="D787" s="146"/>
      <c r="E787" s="146"/>
      <c r="F787" s="146"/>
      <c r="G787" s="146"/>
      <c r="H787" s="146"/>
      <c r="I787" s="146"/>
      <c r="J787" s="146"/>
      <c r="K787" s="146"/>
      <c r="L787" s="146"/>
    </row>
    <row r="788" spans="2:12" x14ac:dyDescent="0.2">
      <c r="B788" s="146"/>
      <c r="C788" s="146"/>
      <c r="D788" s="146"/>
      <c r="E788" s="146"/>
      <c r="F788" s="146"/>
      <c r="G788" s="146"/>
      <c r="H788" s="146"/>
      <c r="I788" s="146"/>
      <c r="J788" s="146"/>
      <c r="K788" s="146"/>
      <c r="L788" s="146"/>
    </row>
    <row r="789" spans="2:12" x14ac:dyDescent="0.2">
      <c r="B789" s="146"/>
      <c r="C789" s="146"/>
      <c r="D789" s="146"/>
      <c r="E789" s="146"/>
      <c r="F789" s="146"/>
      <c r="G789" s="146"/>
      <c r="H789" s="146"/>
      <c r="I789" s="146"/>
      <c r="J789" s="146"/>
      <c r="K789" s="146"/>
      <c r="L789" s="146"/>
    </row>
    <row r="790" spans="2:12" x14ac:dyDescent="0.2">
      <c r="B790" s="146"/>
      <c r="C790" s="146"/>
      <c r="D790" s="146"/>
      <c r="E790" s="146"/>
      <c r="F790" s="146"/>
      <c r="G790" s="146"/>
      <c r="H790" s="146"/>
      <c r="I790" s="146"/>
      <c r="J790" s="146"/>
      <c r="K790" s="146"/>
      <c r="L790" s="146"/>
    </row>
    <row r="791" spans="2:12" x14ac:dyDescent="0.2">
      <c r="B791" s="146"/>
      <c r="C791" s="146"/>
      <c r="D791" s="146"/>
      <c r="E791" s="146"/>
      <c r="F791" s="146"/>
      <c r="G791" s="146"/>
      <c r="H791" s="146"/>
      <c r="I791" s="146"/>
      <c r="J791" s="146"/>
      <c r="K791" s="146"/>
      <c r="L791" s="146"/>
    </row>
    <row r="792" spans="2:12" x14ac:dyDescent="0.2">
      <c r="B792" s="146"/>
      <c r="C792" s="146"/>
      <c r="D792" s="146"/>
      <c r="E792" s="146"/>
      <c r="F792" s="146"/>
      <c r="G792" s="146"/>
      <c r="H792" s="146"/>
      <c r="I792" s="146"/>
      <c r="J792" s="146"/>
      <c r="K792" s="146"/>
      <c r="L792" s="146"/>
    </row>
    <row r="793" spans="2:12" x14ac:dyDescent="0.2">
      <c r="B793" s="146"/>
      <c r="C793" s="146"/>
      <c r="D793" s="146"/>
      <c r="E793" s="146"/>
      <c r="F793" s="146"/>
      <c r="G793" s="146"/>
      <c r="H793" s="146"/>
      <c r="I793" s="146"/>
      <c r="J793" s="146"/>
      <c r="K793" s="146"/>
      <c r="L793" s="146"/>
    </row>
    <row r="794" spans="2:12" x14ac:dyDescent="0.2">
      <c r="B794" s="146"/>
      <c r="C794" s="146"/>
      <c r="D794" s="146"/>
      <c r="E794" s="146"/>
      <c r="F794" s="146"/>
      <c r="G794" s="146"/>
      <c r="H794" s="146"/>
      <c r="I794" s="146"/>
      <c r="J794" s="146"/>
      <c r="K794" s="146"/>
      <c r="L794" s="146"/>
    </row>
    <row r="795" spans="2:12" x14ac:dyDescent="0.2">
      <c r="B795" s="146"/>
      <c r="C795" s="146"/>
      <c r="D795" s="146"/>
      <c r="E795" s="146"/>
      <c r="F795" s="146"/>
      <c r="G795" s="146"/>
      <c r="H795" s="146"/>
      <c r="I795" s="146"/>
      <c r="J795" s="146"/>
      <c r="K795" s="146"/>
      <c r="L795" s="146"/>
    </row>
    <row r="796" spans="2:12" x14ac:dyDescent="0.2">
      <c r="B796" s="146"/>
      <c r="C796" s="146"/>
      <c r="D796" s="146"/>
      <c r="E796" s="146"/>
      <c r="F796" s="146"/>
      <c r="G796" s="146"/>
      <c r="H796" s="146"/>
      <c r="I796" s="146"/>
      <c r="J796" s="146"/>
      <c r="K796" s="146"/>
      <c r="L796" s="146"/>
    </row>
    <row r="797" spans="2:12" x14ac:dyDescent="0.2">
      <c r="B797" s="146"/>
      <c r="C797" s="146"/>
      <c r="D797" s="146"/>
      <c r="E797" s="146"/>
      <c r="F797" s="146"/>
      <c r="G797" s="146"/>
      <c r="H797" s="146"/>
      <c r="I797" s="146"/>
      <c r="J797" s="146"/>
      <c r="K797" s="146"/>
      <c r="L797" s="146"/>
    </row>
    <row r="798" spans="2:12" x14ac:dyDescent="0.2">
      <c r="B798" s="146"/>
      <c r="C798" s="146"/>
      <c r="D798" s="146"/>
      <c r="E798" s="146"/>
      <c r="F798" s="146"/>
      <c r="G798" s="146"/>
      <c r="H798" s="146"/>
      <c r="I798" s="146"/>
      <c r="J798" s="146"/>
      <c r="K798" s="146"/>
      <c r="L798" s="146"/>
    </row>
    <row r="799" spans="2:12" x14ac:dyDescent="0.2">
      <c r="B799" s="146"/>
      <c r="C799" s="146"/>
      <c r="D799" s="146"/>
      <c r="E799" s="146"/>
      <c r="F799" s="146"/>
      <c r="G799" s="146"/>
      <c r="H799" s="146"/>
      <c r="I799" s="146"/>
      <c r="J799" s="146"/>
      <c r="K799" s="146"/>
      <c r="L799" s="146"/>
    </row>
    <row r="800" spans="2:12" x14ac:dyDescent="0.2">
      <c r="B800" s="146"/>
      <c r="C800" s="146"/>
      <c r="D800" s="146"/>
      <c r="E800" s="146"/>
      <c r="F800" s="146"/>
      <c r="G800" s="146"/>
      <c r="H800" s="146"/>
      <c r="I800" s="146"/>
      <c r="J800" s="146"/>
      <c r="K800" s="146"/>
      <c r="L800" s="146"/>
    </row>
    <row r="801" spans="2:12" x14ac:dyDescent="0.2">
      <c r="B801" s="146"/>
      <c r="C801" s="146"/>
      <c r="D801" s="146"/>
      <c r="E801" s="146"/>
      <c r="F801" s="146"/>
      <c r="G801" s="146"/>
      <c r="H801" s="146"/>
      <c r="I801" s="146"/>
      <c r="J801" s="146"/>
      <c r="K801" s="146"/>
      <c r="L801" s="146"/>
    </row>
    <row r="802" spans="2:12" x14ac:dyDescent="0.2">
      <c r="B802" s="146"/>
      <c r="C802" s="146"/>
      <c r="D802" s="146"/>
      <c r="E802" s="146"/>
      <c r="F802" s="146"/>
      <c r="G802" s="146"/>
      <c r="H802" s="146"/>
      <c r="I802" s="146"/>
      <c r="J802" s="146"/>
      <c r="K802" s="146"/>
      <c r="L802" s="146"/>
    </row>
    <row r="803" spans="2:12" x14ac:dyDescent="0.2">
      <c r="B803" s="146"/>
      <c r="C803" s="146"/>
      <c r="D803" s="146"/>
      <c r="E803" s="146"/>
      <c r="F803" s="146"/>
      <c r="G803" s="146"/>
      <c r="H803" s="146"/>
      <c r="I803" s="146"/>
      <c r="J803" s="146"/>
      <c r="K803" s="146"/>
      <c r="L803" s="146"/>
    </row>
    <row r="804" spans="2:12" x14ac:dyDescent="0.2">
      <c r="B804" s="146"/>
      <c r="C804" s="146"/>
      <c r="D804" s="146"/>
      <c r="E804" s="146"/>
      <c r="F804" s="146"/>
      <c r="G804" s="146"/>
      <c r="H804" s="146"/>
      <c r="I804" s="146"/>
      <c r="J804" s="146"/>
      <c r="K804" s="146"/>
      <c r="L804" s="146"/>
    </row>
    <row r="805" spans="2:12" x14ac:dyDescent="0.2">
      <c r="B805" s="146"/>
      <c r="C805" s="146"/>
      <c r="D805" s="146"/>
      <c r="E805" s="146"/>
      <c r="F805" s="146"/>
      <c r="G805" s="146"/>
      <c r="H805" s="146"/>
      <c r="I805" s="146"/>
      <c r="J805" s="146"/>
      <c r="K805" s="146"/>
      <c r="L805" s="146"/>
    </row>
    <row r="806" spans="2:12" x14ac:dyDescent="0.2">
      <c r="B806" s="146"/>
      <c r="C806" s="146"/>
      <c r="D806" s="146"/>
      <c r="E806" s="146"/>
      <c r="F806" s="146"/>
      <c r="G806" s="146"/>
      <c r="H806" s="146"/>
      <c r="I806" s="146"/>
      <c r="J806" s="146"/>
      <c r="K806" s="146"/>
      <c r="L806" s="146"/>
    </row>
    <row r="807" spans="2:12" x14ac:dyDescent="0.2">
      <c r="B807" s="146"/>
      <c r="C807" s="146"/>
      <c r="D807" s="146"/>
      <c r="E807" s="146"/>
      <c r="F807" s="146"/>
      <c r="G807" s="146"/>
      <c r="H807" s="146"/>
      <c r="I807" s="146"/>
      <c r="J807" s="146"/>
      <c r="K807" s="146"/>
      <c r="L807" s="146"/>
    </row>
    <row r="808" spans="2:12" x14ac:dyDescent="0.2">
      <c r="B808" s="146"/>
      <c r="C808" s="146"/>
      <c r="D808" s="146"/>
      <c r="E808" s="146"/>
      <c r="F808" s="146"/>
      <c r="G808" s="146"/>
      <c r="H808" s="146"/>
      <c r="I808" s="146"/>
      <c r="J808" s="146"/>
      <c r="K808" s="146"/>
      <c r="L808" s="146"/>
    </row>
    <row r="809" spans="2:12" x14ac:dyDescent="0.2">
      <c r="B809" s="146"/>
      <c r="C809" s="146"/>
      <c r="D809" s="146"/>
      <c r="E809" s="146"/>
      <c r="F809" s="146"/>
      <c r="G809" s="146"/>
      <c r="H809" s="146"/>
      <c r="I809" s="146"/>
      <c r="J809" s="146"/>
      <c r="K809" s="146"/>
      <c r="L809" s="146"/>
    </row>
    <row r="810" spans="2:12" x14ac:dyDescent="0.2">
      <c r="B810" s="146"/>
      <c r="C810" s="146"/>
      <c r="D810" s="146"/>
      <c r="E810" s="146"/>
      <c r="F810" s="146"/>
      <c r="G810" s="146"/>
      <c r="H810" s="146"/>
      <c r="I810" s="146"/>
      <c r="J810" s="146"/>
      <c r="K810" s="146"/>
      <c r="L810" s="146"/>
    </row>
    <row r="811" spans="2:12" x14ac:dyDescent="0.2">
      <c r="B811" s="146"/>
      <c r="C811" s="146"/>
      <c r="D811" s="146"/>
      <c r="E811" s="146"/>
      <c r="F811" s="146"/>
      <c r="G811" s="146"/>
      <c r="H811" s="146"/>
      <c r="I811" s="146"/>
      <c r="J811" s="146"/>
      <c r="K811" s="146"/>
      <c r="L811" s="146"/>
    </row>
    <row r="812" spans="2:12" x14ac:dyDescent="0.2">
      <c r="B812" s="146"/>
      <c r="C812" s="146"/>
      <c r="D812" s="146"/>
      <c r="E812" s="146"/>
      <c r="F812" s="146"/>
      <c r="G812" s="146"/>
      <c r="H812" s="146"/>
      <c r="I812" s="146"/>
      <c r="J812" s="146"/>
      <c r="K812" s="146"/>
      <c r="L812" s="146"/>
    </row>
    <row r="813" spans="2:12" x14ac:dyDescent="0.2">
      <c r="B813" s="146"/>
      <c r="C813" s="146"/>
      <c r="D813" s="146"/>
      <c r="E813" s="146"/>
      <c r="F813" s="146"/>
      <c r="G813" s="146"/>
      <c r="H813" s="146"/>
      <c r="I813" s="146"/>
      <c r="J813" s="146"/>
      <c r="K813" s="146"/>
      <c r="L813" s="146"/>
    </row>
    <row r="814" spans="2:12" x14ac:dyDescent="0.2">
      <c r="B814" s="146"/>
      <c r="C814" s="146"/>
      <c r="D814" s="146"/>
      <c r="E814" s="146"/>
      <c r="F814" s="146"/>
      <c r="G814" s="146"/>
      <c r="H814" s="146"/>
      <c r="I814" s="146"/>
      <c r="J814" s="146"/>
      <c r="K814" s="146"/>
      <c r="L814" s="146"/>
    </row>
    <row r="815" spans="2:12" x14ac:dyDescent="0.2">
      <c r="B815" s="146"/>
      <c r="C815" s="146"/>
      <c r="D815" s="146"/>
      <c r="E815" s="146"/>
      <c r="F815" s="146"/>
      <c r="G815" s="146"/>
      <c r="H815" s="146"/>
      <c r="I815" s="146"/>
      <c r="J815" s="146"/>
      <c r="K815" s="146"/>
      <c r="L815" s="146"/>
    </row>
    <row r="816" spans="2:12" x14ac:dyDescent="0.2">
      <c r="B816" s="146"/>
      <c r="C816" s="146"/>
      <c r="D816" s="146"/>
      <c r="E816" s="146"/>
      <c r="F816" s="146"/>
      <c r="G816" s="146"/>
      <c r="H816" s="146"/>
      <c r="I816" s="146"/>
      <c r="J816" s="146"/>
      <c r="K816" s="146"/>
      <c r="L816" s="146"/>
    </row>
    <row r="817" spans="2:12" x14ac:dyDescent="0.2">
      <c r="B817" s="146"/>
      <c r="C817" s="146"/>
      <c r="D817" s="146"/>
      <c r="E817" s="146"/>
      <c r="F817" s="146"/>
      <c r="G817" s="146"/>
      <c r="H817" s="146"/>
      <c r="I817" s="146"/>
      <c r="J817" s="146"/>
      <c r="K817" s="146"/>
      <c r="L817" s="146"/>
    </row>
    <row r="818" spans="2:12" x14ac:dyDescent="0.2">
      <c r="B818" s="146"/>
      <c r="C818" s="146"/>
      <c r="D818" s="146"/>
      <c r="E818" s="146"/>
      <c r="F818" s="146"/>
      <c r="G818" s="146"/>
      <c r="H818" s="146"/>
      <c r="I818" s="146"/>
      <c r="J818" s="146"/>
      <c r="K818" s="146"/>
      <c r="L818" s="146"/>
    </row>
    <row r="819" spans="2:12" x14ac:dyDescent="0.2">
      <c r="B819" s="146"/>
      <c r="C819" s="146"/>
      <c r="D819" s="146"/>
      <c r="E819" s="146"/>
      <c r="F819" s="146"/>
      <c r="G819" s="146"/>
      <c r="H819" s="146"/>
      <c r="I819" s="146"/>
      <c r="J819" s="146"/>
      <c r="K819" s="146"/>
      <c r="L819" s="146"/>
    </row>
    <row r="820" spans="2:12" x14ac:dyDescent="0.2">
      <c r="B820" s="146"/>
      <c r="C820" s="146"/>
      <c r="D820" s="146"/>
      <c r="E820" s="146"/>
      <c r="F820" s="146"/>
      <c r="G820" s="146"/>
      <c r="H820" s="146"/>
      <c r="I820" s="146"/>
      <c r="J820" s="146"/>
      <c r="K820" s="146"/>
      <c r="L820" s="146"/>
    </row>
    <row r="821" spans="2:12" x14ac:dyDescent="0.2">
      <c r="B821" s="146"/>
      <c r="C821" s="146"/>
      <c r="D821" s="146"/>
      <c r="E821" s="146"/>
      <c r="F821" s="146"/>
      <c r="G821" s="146"/>
      <c r="H821" s="146"/>
      <c r="I821" s="146"/>
      <c r="J821" s="146"/>
      <c r="K821" s="146"/>
      <c r="L821" s="146"/>
    </row>
    <row r="822" spans="2:12" x14ac:dyDescent="0.2">
      <c r="B822" s="146"/>
      <c r="C822" s="146"/>
      <c r="D822" s="146"/>
      <c r="E822" s="146"/>
      <c r="F822" s="146"/>
      <c r="G822" s="146"/>
      <c r="H822" s="146"/>
      <c r="I822" s="146"/>
      <c r="J822" s="146"/>
      <c r="K822" s="146"/>
      <c r="L822" s="146"/>
    </row>
    <row r="823" spans="2:12" x14ac:dyDescent="0.2">
      <c r="B823" s="146"/>
      <c r="C823" s="146"/>
      <c r="D823" s="146"/>
      <c r="E823" s="146"/>
      <c r="F823" s="146"/>
      <c r="G823" s="146"/>
      <c r="H823" s="146"/>
      <c r="I823" s="146"/>
      <c r="J823" s="146"/>
      <c r="K823" s="146"/>
      <c r="L823" s="146"/>
    </row>
    <row r="824" spans="2:12" x14ac:dyDescent="0.2">
      <c r="B824" s="146"/>
      <c r="C824" s="146"/>
      <c r="D824" s="146"/>
      <c r="E824" s="146"/>
      <c r="F824" s="146"/>
      <c r="G824" s="146"/>
      <c r="H824" s="146"/>
      <c r="I824" s="146"/>
      <c r="J824" s="146"/>
      <c r="K824" s="146"/>
      <c r="L824" s="146"/>
    </row>
    <row r="825" spans="2:12" x14ac:dyDescent="0.2">
      <c r="B825" s="146"/>
      <c r="C825" s="146"/>
      <c r="D825" s="146"/>
      <c r="E825" s="146"/>
      <c r="F825" s="146"/>
      <c r="G825" s="146"/>
      <c r="H825" s="146"/>
      <c r="I825" s="146"/>
      <c r="J825" s="146"/>
      <c r="K825" s="146"/>
      <c r="L825" s="146"/>
    </row>
    <row r="826" spans="2:12" x14ac:dyDescent="0.2">
      <c r="B826" s="146"/>
      <c r="C826" s="146"/>
      <c r="D826" s="146"/>
      <c r="E826" s="146"/>
      <c r="F826" s="146"/>
      <c r="G826" s="146"/>
      <c r="H826" s="146"/>
      <c r="I826" s="146"/>
      <c r="J826" s="146"/>
      <c r="K826" s="146"/>
      <c r="L826" s="146"/>
    </row>
    <row r="827" spans="2:12" x14ac:dyDescent="0.2">
      <c r="B827" s="146"/>
      <c r="C827" s="146"/>
      <c r="D827" s="146"/>
      <c r="E827" s="146"/>
      <c r="F827" s="146"/>
      <c r="G827" s="146"/>
      <c r="H827" s="146"/>
      <c r="I827" s="146"/>
      <c r="J827" s="146"/>
      <c r="K827" s="146"/>
      <c r="L827" s="146"/>
    </row>
    <row r="828" spans="2:12" x14ac:dyDescent="0.2">
      <c r="B828" s="146"/>
      <c r="C828" s="146"/>
      <c r="D828" s="146"/>
      <c r="E828" s="146"/>
      <c r="F828" s="146"/>
      <c r="G828" s="146"/>
      <c r="H828" s="146"/>
      <c r="I828" s="146"/>
      <c r="J828" s="146"/>
      <c r="K828" s="146"/>
      <c r="L828" s="146"/>
    </row>
    <row r="829" spans="2:12" x14ac:dyDescent="0.2">
      <c r="B829" s="146"/>
      <c r="C829" s="146"/>
      <c r="D829" s="146"/>
      <c r="E829" s="146"/>
      <c r="F829" s="146"/>
      <c r="G829" s="146"/>
      <c r="H829" s="146"/>
      <c r="I829" s="146"/>
      <c r="J829" s="146"/>
      <c r="K829" s="146"/>
      <c r="L829" s="146"/>
    </row>
    <row r="830" spans="2:12" x14ac:dyDescent="0.2">
      <c r="B830" s="146"/>
      <c r="C830" s="146"/>
      <c r="D830" s="146"/>
      <c r="E830" s="146"/>
      <c r="F830" s="146"/>
      <c r="G830" s="146"/>
      <c r="H830" s="146"/>
      <c r="I830" s="146"/>
      <c r="J830" s="146"/>
      <c r="K830" s="146"/>
      <c r="L830" s="146"/>
    </row>
    <row r="831" spans="2:12" x14ac:dyDescent="0.2">
      <c r="B831" s="146"/>
      <c r="C831" s="146"/>
      <c r="D831" s="146"/>
      <c r="E831" s="146"/>
      <c r="F831" s="146"/>
      <c r="G831" s="146"/>
      <c r="H831" s="146"/>
      <c r="I831" s="146"/>
      <c r="J831" s="146"/>
      <c r="K831" s="146"/>
      <c r="L831" s="146"/>
    </row>
    <row r="832" spans="2:12" x14ac:dyDescent="0.2">
      <c r="B832" s="146"/>
      <c r="C832" s="146"/>
      <c r="D832" s="146"/>
      <c r="E832" s="146"/>
      <c r="F832" s="146"/>
      <c r="G832" s="146"/>
      <c r="H832" s="146"/>
      <c r="I832" s="146"/>
      <c r="J832" s="146"/>
      <c r="K832" s="146"/>
      <c r="L832" s="146"/>
    </row>
    <row r="833" spans="2:12" x14ac:dyDescent="0.2">
      <c r="B833" s="146"/>
      <c r="C833" s="146"/>
      <c r="D833" s="146"/>
      <c r="E833" s="146"/>
      <c r="F833" s="146"/>
      <c r="G833" s="146"/>
      <c r="H833" s="146"/>
      <c r="I833" s="146"/>
      <c r="J833" s="146"/>
      <c r="K833" s="146"/>
      <c r="L833" s="146"/>
    </row>
    <row r="834" spans="2:12" x14ac:dyDescent="0.2">
      <c r="B834" s="146"/>
      <c r="C834" s="146"/>
      <c r="D834" s="146"/>
      <c r="E834" s="146"/>
      <c r="F834" s="146"/>
      <c r="G834" s="146"/>
      <c r="H834" s="146"/>
      <c r="I834" s="146"/>
      <c r="J834" s="146"/>
      <c r="K834" s="146"/>
      <c r="L834" s="146"/>
    </row>
    <row r="835" spans="2:12" x14ac:dyDescent="0.2">
      <c r="B835" s="146"/>
      <c r="C835" s="146"/>
      <c r="D835" s="146"/>
      <c r="E835" s="146"/>
      <c r="F835" s="146"/>
      <c r="G835" s="146"/>
      <c r="H835" s="146"/>
      <c r="I835" s="146"/>
      <c r="J835" s="146"/>
      <c r="K835" s="146"/>
      <c r="L835" s="146"/>
    </row>
    <row r="836" spans="2:12" x14ac:dyDescent="0.2">
      <c r="B836" s="146"/>
      <c r="C836" s="146"/>
      <c r="D836" s="146"/>
      <c r="E836" s="146"/>
      <c r="F836" s="146"/>
      <c r="G836" s="146"/>
      <c r="H836" s="146"/>
      <c r="I836" s="146"/>
      <c r="J836" s="146"/>
      <c r="K836" s="146"/>
      <c r="L836" s="146"/>
    </row>
    <row r="837" spans="2:12" x14ac:dyDescent="0.2">
      <c r="B837" s="146"/>
      <c r="C837" s="146"/>
      <c r="D837" s="146"/>
      <c r="E837" s="146"/>
      <c r="F837" s="146"/>
      <c r="G837" s="146"/>
      <c r="H837" s="146"/>
      <c r="I837" s="146"/>
      <c r="J837" s="146"/>
      <c r="K837" s="146"/>
      <c r="L837" s="146"/>
    </row>
    <row r="838" spans="2:12" x14ac:dyDescent="0.2">
      <c r="B838" s="146"/>
      <c r="C838" s="146"/>
      <c r="D838" s="146"/>
      <c r="E838" s="146"/>
      <c r="F838" s="146"/>
      <c r="G838" s="146"/>
      <c r="H838" s="146"/>
      <c r="I838" s="146"/>
      <c r="J838" s="146"/>
      <c r="K838" s="146"/>
      <c r="L838" s="146"/>
    </row>
    <row r="839" spans="2:12" x14ac:dyDescent="0.2">
      <c r="B839" s="146"/>
      <c r="C839" s="146"/>
      <c r="D839" s="146"/>
      <c r="E839" s="146"/>
      <c r="F839" s="146"/>
      <c r="G839" s="146"/>
      <c r="H839" s="146"/>
      <c r="I839" s="146"/>
      <c r="J839" s="146"/>
      <c r="K839" s="146"/>
      <c r="L839" s="146"/>
    </row>
    <row r="840" spans="2:12" x14ac:dyDescent="0.2">
      <c r="B840" s="146"/>
      <c r="C840" s="146"/>
      <c r="D840" s="146"/>
      <c r="E840" s="146"/>
      <c r="F840" s="146"/>
      <c r="G840" s="146"/>
      <c r="H840" s="146"/>
      <c r="I840" s="146"/>
      <c r="J840" s="146"/>
      <c r="K840" s="146"/>
      <c r="L840" s="146"/>
    </row>
    <row r="841" spans="2:12" x14ac:dyDescent="0.2">
      <c r="B841" s="146"/>
      <c r="C841" s="146"/>
      <c r="D841" s="146"/>
      <c r="E841" s="146"/>
      <c r="F841" s="146"/>
      <c r="G841" s="146"/>
      <c r="H841" s="146"/>
      <c r="I841" s="146"/>
      <c r="J841" s="146"/>
      <c r="K841" s="146"/>
      <c r="L841" s="146"/>
    </row>
    <row r="842" spans="2:12" x14ac:dyDescent="0.2">
      <c r="B842" s="146"/>
      <c r="C842" s="146"/>
      <c r="D842" s="146"/>
      <c r="E842" s="146"/>
      <c r="F842" s="146"/>
      <c r="G842" s="146"/>
      <c r="H842" s="146"/>
      <c r="I842" s="146"/>
      <c r="J842" s="146"/>
      <c r="K842" s="146"/>
      <c r="L842" s="146"/>
    </row>
    <row r="843" spans="2:12" x14ac:dyDescent="0.2">
      <c r="B843" s="146"/>
      <c r="C843" s="146"/>
      <c r="D843" s="146"/>
      <c r="E843" s="146"/>
      <c r="F843" s="146"/>
      <c r="G843" s="146"/>
      <c r="H843" s="146"/>
      <c r="I843" s="146"/>
      <c r="J843" s="146"/>
      <c r="K843" s="146"/>
      <c r="L843" s="146"/>
    </row>
    <row r="844" spans="2:12" x14ac:dyDescent="0.2">
      <c r="B844" s="146"/>
      <c r="C844" s="146"/>
      <c r="D844" s="146"/>
      <c r="E844" s="146"/>
      <c r="F844" s="146"/>
      <c r="G844" s="146"/>
      <c r="H844" s="146"/>
      <c r="I844" s="146"/>
      <c r="J844" s="146"/>
      <c r="K844" s="146"/>
      <c r="L844" s="146"/>
    </row>
    <row r="845" spans="2:12" x14ac:dyDescent="0.2">
      <c r="B845" s="146"/>
      <c r="C845" s="146"/>
      <c r="D845" s="146"/>
      <c r="E845" s="146"/>
      <c r="F845" s="146"/>
      <c r="G845" s="146"/>
      <c r="H845" s="146"/>
      <c r="I845" s="146"/>
      <c r="J845" s="146"/>
      <c r="K845" s="146"/>
      <c r="L845" s="146"/>
    </row>
    <row r="846" spans="2:12" x14ac:dyDescent="0.2">
      <c r="B846" s="146"/>
      <c r="C846" s="146"/>
      <c r="D846" s="146"/>
      <c r="E846" s="146"/>
      <c r="F846" s="146"/>
      <c r="G846" s="146"/>
      <c r="H846" s="146"/>
      <c r="I846" s="146"/>
      <c r="J846" s="146"/>
      <c r="K846" s="146"/>
      <c r="L846" s="146"/>
    </row>
    <row r="847" spans="2:12" x14ac:dyDescent="0.2">
      <c r="B847" s="146"/>
      <c r="C847" s="146"/>
      <c r="D847" s="146"/>
      <c r="E847" s="146"/>
      <c r="F847" s="146"/>
      <c r="G847" s="146"/>
      <c r="H847" s="146"/>
      <c r="I847" s="146"/>
      <c r="J847" s="146"/>
      <c r="K847" s="146"/>
      <c r="L847" s="146"/>
    </row>
    <row r="848" spans="2:12" x14ac:dyDescent="0.2">
      <c r="B848" s="146"/>
      <c r="C848" s="146"/>
      <c r="D848" s="146"/>
      <c r="E848" s="146"/>
      <c r="F848" s="146"/>
      <c r="G848" s="146"/>
      <c r="H848" s="146"/>
      <c r="I848" s="146"/>
      <c r="J848" s="146"/>
      <c r="K848" s="146"/>
      <c r="L848" s="146"/>
    </row>
    <row r="849" spans="2:12" x14ac:dyDescent="0.2">
      <c r="B849" s="146"/>
      <c r="C849" s="146"/>
      <c r="D849" s="146"/>
      <c r="E849" s="146"/>
      <c r="F849" s="146"/>
      <c r="G849" s="146"/>
      <c r="H849" s="146"/>
      <c r="I849" s="146"/>
      <c r="J849" s="146"/>
      <c r="K849" s="146"/>
      <c r="L849" s="146"/>
    </row>
    <row r="850" spans="2:12" x14ac:dyDescent="0.2">
      <c r="B850" s="146"/>
      <c r="C850" s="146"/>
      <c r="D850" s="146"/>
      <c r="E850" s="146"/>
      <c r="F850" s="146"/>
      <c r="G850" s="146"/>
      <c r="H850" s="146"/>
      <c r="I850" s="146"/>
      <c r="J850" s="146"/>
      <c r="K850" s="146"/>
      <c r="L850" s="146"/>
    </row>
    <row r="851" spans="2:12" x14ac:dyDescent="0.2">
      <c r="B851" s="146"/>
      <c r="C851" s="146"/>
      <c r="D851" s="146"/>
      <c r="E851" s="146"/>
      <c r="F851" s="146"/>
      <c r="G851" s="146"/>
      <c r="H851" s="146"/>
      <c r="I851" s="146"/>
      <c r="J851" s="146"/>
      <c r="K851" s="146"/>
      <c r="L851" s="146"/>
    </row>
    <row r="852" spans="2:12" x14ac:dyDescent="0.2">
      <c r="B852" s="146"/>
      <c r="C852" s="146"/>
      <c r="D852" s="146"/>
      <c r="E852" s="146"/>
      <c r="F852" s="146"/>
      <c r="G852" s="146"/>
      <c r="H852" s="146"/>
      <c r="I852" s="146"/>
      <c r="J852" s="146"/>
      <c r="K852" s="146"/>
      <c r="L852" s="146"/>
    </row>
    <row r="853" spans="2:12" x14ac:dyDescent="0.2">
      <c r="B853" s="146"/>
      <c r="C853" s="146"/>
      <c r="D853" s="146"/>
      <c r="E853" s="146"/>
      <c r="F853" s="146"/>
      <c r="G853" s="146"/>
      <c r="H853" s="146"/>
      <c r="I853" s="146"/>
      <c r="J853" s="146"/>
      <c r="K853" s="146"/>
      <c r="L853" s="146"/>
    </row>
    <row r="854" spans="2:12" x14ac:dyDescent="0.2">
      <c r="B854" s="146"/>
      <c r="C854" s="146"/>
      <c r="D854" s="146"/>
      <c r="E854" s="146"/>
      <c r="F854" s="146"/>
      <c r="G854" s="146"/>
      <c r="H854" s="146"/>
      <c r="I854" s="146"/>
      <c r="J854" s="146"/>
      <c r="K854" s="146"/>
      <c r="L854" s="146"/>
    </row>
    <row r="855" spans="2:12" x14ac:dyDescent="0.2">
      <c r="B855" s="146"/>
      <c r="C855" s="146"/>
      <c r="D855" s="146"/>
      <c r="E855" s="146"/>
      <c r="F855" s="146"/>
      <c r="G855" s="146"/>
      <c r="H855" s="146"/>
      <c r="I855" s="146"/>
      <c r="J855" s="146"/>
      <c r="K855" s="146"/>
      <c r="L855" s="146"/>
    </row>
    <row r="856" spans="2:12" x14ac:dyDescent="0.2">
      <c r="B856" s="146"/>
      <c r="C856" s="146"/>
      <c r="D856" s="146"/>
      <c r="E856" s="146"/>
      <c r="F856" s="146"/>
      <c r="G856" s="146"/>
      <c r="H856" s="146"/>
      <c r="I856" s="146"/>
      <c r="J856" s="146"/>
      <c r="K856" s="146"/>
      <c r="L856" s="146"/>
    </row>
    <row r="857" spans="2:12" x14ac:dyDescent="0.2">
      <c r="B857" s="146"/>
      <c r="C857" s="146"/>
      <c r="D857" s="146"/>
      <c r="E857" s="146"/>
      <c r="F857" s="146"/>
      <c r="G857" s="146"/>
      <c r="H857" s="146"/>
      <c r="I857" s="146"/>
      <c r="J857" s="146"/>
      <c r="K857" s="146"/>
      <c r="L857" s="146"/>
    </row>
    <row r="858" spans="2:12" x14ac:dyDescent="0.2">
      <c r="B858" s="146"/>
      <c r="C858" s="146"/>
      <c r="D858" s="146"/>
      <c r="E858" s="146"/>
      <c r="F858" s="146"/>
      <c r="G858" s="146"/>
      <c r="H858" s="146"/>
      <c r="I858" s="146"/>
      <c r="J858" s="146"/>
      <c r="K858" s="146"/>
      <c r="L858" s="146"/>
    </row>
    <row r="859" spans="2:12" x14ac:dyDescent="0.2">
      <c r="B859" s="146"/>
      <c r="C859" s="146"/>
      <c r="D859" s="146"/>
      <c r="E859" s="146"/>
      <c r="F859" s="146"/>
      <c r="G859" s="146"/>
      <c r="H859" s="146"/>
      <c r="I859" s="146"/>
      <c r="J859" s="146"/>
      <c r="K859" s="146"/>
      <c r="L859" s="146"/>
    </row>
    <row r="860" spans="2:12" x14ac:dyDescent="0.2">
      <c r="B860" s="146"/>
      <c r="C860" s="146"/>
      <c r="D860" s="146"/>
      <c r="E860" s="146"/>
      <c r="F860" s="146"/>
      <c r="G860" s="146"/>
      <c r="H860" s="146"/>
      <c r="I860" s="146"/>
      <c r="J860" s="146"/>
      <c r="K860" s="146"/>
      <c r="L860" s="146"/>
    </row>
    <row r="861" spans="2:12" x14ac:dyDescent="0.2">
      <c r="B861" s="146"/>
      <c r="C861" s="146"/>
      <c r="D861" s="146"/>
      <c r="E861" s="146"/>
      <c r="F861" s="146"/>
      <c r="G861" s="146"/>
      <c r="H861" s="146"/>
      <c r="I861" s="146"/>
      <c r="J861" s="146"/>
      <c r="K861" s="146"/>
      <c r="L861" s="146"/>
    </row>
    <row r="862" spans="2:12" x14ac:dyDescent="0.2">
      <c r="B862" s="146"/>
      <c r="C862" s="146"/>
      <c r="D862" s="146"/>
      <c r="E862" s="146"/>
      <c r="F862" s="146"/>
      <c r="G862" s="146"/>
      <c r="H862" s="146"/>
      <c r="I862" s="146"/>
      <c r="J862" s="146"/>
      <c r="K862" s="146"/>
      <c r="L862" s="146"/>
    </row>
    <row r="863" spans="2:12" x14ac:dyDescent="0.2">
      <c r="B863" s="146"/>
      <c r="C863" s="146"/>
      <c r="D863" s="146"/>
      <c r="E863" s="146"/>
      <c r="F863" s="146"/>
      <c r="G863" s="146"/>
      <c r="H863" s="146"/>
      <c r="I863" s="146"/>
      <c r="J863" s="146"/>
      <c r="K863" s="146"/>
      <c r="L863" s="146"/>
    </row>
    <row r="864" spans="2:12" x14ac:dyDescent="0.2">
      <c r="B864" s="146"/>
      <c r="C864" s="146"/>
      <c r="D864" s="146"/>
      <c r="E864" s="146"/>
      <c r="F864" s="146"/>
      <c r="G864" s="146"/>
      <c r="H864" s="146"/>
      <c r="I864" s="146"/>
      <c r="J864" s="146"/>
      <c r="K864" s="146"/>
      <c r="L864" s="146"/>
    </row>
    <row r="865" spans="2:12" x14ac:dyDescent="0.2">
      <c r="B865" s="146"/>
      <c r="C865" s="146"/>
      <c r="D865" s="146"/>
      <c r="E865" s="146"/>
      <c r="F865" s="146"/>
      <c r="G865" s="146"/>
      <c r="H865" s="146"/>
      <c r="I865" s="146"/>
      <c r="J865" s="146"/>
      <c r="K865" s="146"/>
      <c r="L865" s="146"/>
    </row>
    <row r="866" spans="2:12" x14ac:dyDescent="0.2">
      <c r="B866" s="146"/>
      <c r="C866" s="146"/>
      <c r="D866" s="146"/>
      <c r="E866" s="146"/>
      <c r="F866" s="146"/>
      <c r="G866" s="146"/>
      <c r="H866" s="146"/>
      <c r="I866" s="146"/>
      <c r="J866" s="146"/>
      <c r="K866" s="146"/>
      <c r="L866" s="146"/>
    </row>
    <row r="867" spans="2:12" x14ac:dyDescent="0.2">
      <c r="B867" s="146"/>
      <c r="C867" s="146"/>
      <c r="D867" s="146"/>
      <c r="E867" s="146"/>
      <c r="F867" s="146"/>
      <c r="G867" s="146"/>
      <c r="H867" s="146"/>
      <c r="I867" s="146"/>
      <c r="J867" s="146"/>
      <c r="K867" s="146"/>
      <c r="L867" s="146"/>
    </row>
    <row r="868" spans="2:12" x14ac:dyDescent="0.2">
      <c r="B868" s="146"/>
      <c r="C868" s="146"/>
      <c r="D868" s="146"/>
      <c r="E868" s="146"/>
      <c r="F868" s="146"/>
      <c r="G868" s="146"/>
      <c r="H868" s="146"/>
      <c r="I868" s="146"/>
      <c r="J868" s="146"/>
      <c r="K868" s="146"/>
      <c r="L868" s="146"/>
    </row>
    <row r="869" spans="2:12" x14ac:dyDescent="0.2">
      <c r="B869" s="146"/>
      <c r="C869" s="146"/>
      <c r="D869" s="146"/>
      <c r="E869" s="146"/>
      <c r="F869" s="146"/>
      <c r="G869" s="146"/>
      <c r="H869" s="146"/>
      <c r="I869" s="146"/>
      <c r="J869" s="146"/>
      <c r="K869" s="146"/>
      <c r="L869" s="146"/>
    </row>
    <row r="870" spans="2:12" x14ac:dyDescent="0.2">
      <c r="B870" s="146"/>
      <c r="C870" s="146"/>
      <c r="D870" s="146"/>
      <c r="E870" s="146"/>
      <c r="F870" s="146"/>
      <c r="G870" s="146"/>
      <c r="H870" s="146"/>
      <c r="I870" s="146"/>
      <c r="J870" s="146"/>
      <c r="K870" s="146"/>
      <c r="L870" s="146"/>
    </row>
    <row r="871" spans="2:12" x14ac:dyDescent="0.2">
      <c r="B871" s="146"/>
      <c r="C871" s="146"/>
      <c r="D871" s="146"/>
      <c r="E871" s="146"/>
      <c r="F871" s="146"/>
      <c r="G871" s="146"/>
      <c r="H871" s="146"/>
      <c r="I871" s="146"/>
      <c r="J871" s="146"/>
      <c r="K871" s="146"/>
      <c r="L871" s="146"/>
    </row>
    <row r="872" spans="2:12" x14ac:dyDescent="0.2">
      <c r="B872" s="146"/>
      <c r="C872" s="146"/>
      <c r="D872" s="146"/>
      <c r="E872" s="146"/>
      <c r="F872" s="146"/>
      <c r="G872" s="146"/>
      <c r="H872" s="146"/>
      <c r="I872" s="146"/>
      <c r="J872" s="146"/>
      <c r="K872" s="146"/>
      <c r="L872" s="146"/>
    </row>
    <row r="873" spans="2:12" x14ac:dyDescent="0.2">
      <c r="B873" s="146"/>
      <c r="C873" s="146"/>
      <c r="D873" s="146"/>
      <c r="E873" s="146"/>
      <c r="F873" s="146"/>
      <c r="G873" s="146"/>
      <c r="H873" s="146"/>
      <c r="I873" s="146"/>
      <c r="J873" s="146"/>
      <c r="K873" s="146"/>
      <c r="L873" s="146"/>
    </row>
    <row r="874" spans="2:12" x14ac:dyDescent="0.2">
      <c r="B874" s="146"/>
      <c r="C874" s="146"/>
      <c r="D874" s="146"/>
      <c r="E874" s="146"/>
      <c r="F874" s="146"/>
      <c r="G874" s="146"/>
      <c r="H874" s="146"/>
      <c r="I874" s="146"/>
      <c r="J874" s="146"/>
      <c r="K874" s="146"/>
      <c r="L874" s="146"/>
    </row>
    <row r="875" spans="2:12" x14ac:dyDescent="0.2">
      <c r="B875" s="146"/>
      <c r="C875" s="146"/>
      <c r="D875" s="146"/>
      <c r="E875" s="146"/>
      <c r="F875" s="146"/>
      <c r="G875" s="146"/>
      <c r="H875" s="146"/>
      <c r="I875" s="146"/>
      <c r="J875" s="146"/>
      <c r="K875" s="146"/>
      <c r="L875" s="146"/>
    </row>
    <row r="876" spans="2:12" x14ac:dyDescent="0.2">
      <c r="B876" s="146"/>
      <c r="C876" s="146"/>
      <c r="D876" s="146"/>
      <c r="E876" s="146"/>
      <c r="F876" s="146"/>
      <c r="G876" s="146"/>
      <c r="H876" s="146"/>
      <c r="I876" s="146"/>
      <c r="J876" s="146"/>
      <c r="K876" s="146"/>
      <c r="L876" s="146"/>
    </row>
    <row r="877" spans="2:12" x14ac:dyDescent="0.2">
      <c r="B877" s="146"/>
      <c r="C877" s="146"/>
      <c r="D877" s="146"/>
      <c r="E877" s="146"/>
      <c r="F877" s="146"/>
      <c r="G877" s="146"/>
      <c r="H877" s="146"/>
      <c r="I877" s="146"/>
      <c r="J877" s="146"/>
      <c r="K877" s="146"/>
      <c r="L877" s="146"/>
    </row>
    <row r="878" spans="2:12" x14ac:dyDescent="0.2">
      <c r="B878" s="146"/>
      <c r="C878" s="146"/>
      <c r="D878" s="146"/>
      <c r="E878" s="146"/>
      <c r="F878" s="146"/>
      <c r="G878" s="146"/>
      <c r="H878" s="146"/>
      <c r="I878" s="146"/>
      <c r="J878" s="146"/>
      <c r="K878" s="146"/>
      <c r="L878" s="146"/>
    </row>
    <row r="879" spans="2:12" x14ac:dyDescent="0.2">
      <c r="B879" s="146"/>
      <c r="C879" s="146"/>
      <c r="D879" s="146"/>
      <c r="E879" s="146"/>
      <c r="F879" s="146"/>
      <c r="G879" s="146"/>
      <c r="H879" s="146"/>
      <c r="I879" s="146"/>
      <c r="J879" s="146"/>
      <c r="K879" s="146"/>
      <c r="L879" s="146"/>
    </row>
    <row r="880" spans="2:12" x14ac:dyDescent="0.2">
      <c r="B880" s="146"/>
      <c r="C880" s="146"/>
      <c r="D880" s="146"/>
      <c r="E880" s="146"/>
      <c r="F880" s="146"/>
      <c r="G880" s="146"/>
      <c r="H880" s="146"/>
      <c r="I880" s="146"/>
      <c r="J880" s="146"/>
      <c r="K880" s="146"/>
      <c r="L880" s="146"/>
    </row>
    <row r="881" spans="2:12" x14ac:dyDescent="0.2">
      <c r="B881" s="146"/>
      <c r="C881" s="146"/>
      <c r="D881" s="146"/>
      <c r="E881" s="146"/>
      <c r="F881" s="146"/>
      <c r="G881" s="146"/>
      <c r="H881" s="146"/>
      <c r="I881" s="146"/>
      <c r="J881" s="146"/>
      <c r="K881" s="146"/>
      <c r="L881" s="146"/>
    </row>
    <row r="882" spans="2:12" x14ac:dyDescent="0.2">
      <c r="B882" s="146"/>
      <c r="C882" s="146"/>
      <c r="D882" s="146"/>
      <c r="E882" s="146"/>
      <c r="F882" s="146"/>
      <c r="G882" s="146"/>
      <c r="H882" s="146"/>
      <c r="I882" s="146"/>
      <c r="J882" s="146"/>
      <c r="K882" s="146"/>
      <c r="L882" s="146"/>
    </row>
    <row r="883" spans="2:12" x14ac:dyDescent="0.2">
      <c r="B883" s="146"/>
      <c r="C883" s="146"/>
      <c r="D883" s="146"/>
      <c r="E883" s="146"/>
      <c r="F883" s="146"/>
      <c r="G883" s="146"/>
      <c r="H883" s="146"/>
      <c r="I883" s="146"/>
      <c r="J883" s="146"/>
      <c r="K883" s="146"/>
      <c r="L883" s="146"/>
    </row>
    <row r="884" spans="2:12" x14ac:dyDescent="0.2">
      <c r="B884" s="146"/>
      <c r="C884" s="146"/>
      <c r="D884" s="146"/>
      <c r="E884" s="146"/>
      <c r="F884" s="146"/>
      <c r="G884" s="146"/>
      <c r="H884" s="146"/>
      <c r="I884" s="146"/>
      <c r="J884" s="146"/>
      <c r="K884" s="146"/>
      <c r="L884" s="146"/>
    </row>
    <row r="885" spans="2:12" x14ac:dyDescent="0.2">
      <c r="B885" s="146"/>
      <c r="C885" s="146"/>
      <c r="D885" s="146"/>
      <c r="E885" s="146"/>
      <c r="F885" s="146"/>
      <c r="G885" s="146"/>
      <c r="H885" s="146"/>
      <c r="I885" s="146"/>
      <c r="J885" s="146"/>
      <c r="K885" s="146"/>
      <c r="L885" s="146"/>
    </row>
    <row r="886" spans="2:12" x14ac:dyDescent="0.2">
      <c r="B886" s="146"/>
      <c r="C886" s="146"/>
      <c r="D886" s="146"/>
      <c r="E886" s="146"/>
      <c r="F886" s="146"/>
      <c r="G886" s="146"/>
      <c r="H886" s="146"/>
      <c r="I886" s="146"/>
      <c r="J886" s="146"/>
      <c r="K886" s="146"/>
      <c r="L886" s="146"/>
    </row>
    <row r="887" spans="2:12" x14ac:dyDescent="0.2">
      <c r="B887" s="146"/>
      <c r="C887" s="146"/>
      <c r="D887" s="146"/>
      <c r="E887" s="146"/>
      <c r="F887" s="146"/>
      <c r="G887" s="146"/>
      <c r="H887" s="146"/>
      <c r="I887" s="146"/>
      <c r="J887" s="146"/>
      <c r="K887" s="146"/>
      <c r="L887" s="146"/>
    </row>
    <row r="888" spans="2:12" x14ac:dyDescent="0.2">
      <c r="B888" s="146"/>
      <c r="C888" s="146"/>
      <c r="D888" s="146"/>
      <c r="E888" s="146"/>
      <c r="F888" s="146"/>
      <c r="G888" s="146"/>
      <c r="H888" s="146"/>
      <c r="I888" s="146"/>
      <c r="J888" s="146"/>
      <c r="K888" s="146"/>
      <c r="L888" s="146"/>
    </row>
    <row r="889" spans="2:12" x14ac:dyDescent="0.2">
      <c r="B889" s="146"/>
      <c r="C889" s="146"/>
      <c r="D889" s="146"/>
      <c r="E889" s="146"/>
      <c r="F889" s="146"/>
      <c r="G889" s="146"/>
      <c r="H889" s="146"/>
      <c r="I889" s="146"/>
      <c r="J889" s="146"/>
      <c r="K889" s="146"/>
      <c r="L889" s="146"/>
    </row>
    <row r="890" spans="2:12" x14ac:dyDescent="0.2">
      <c r="B890" s="146"/>
      <c r="C890" s="146"/>
      <c r="D890" s="146"/>
      <c r="E890" s="146"/>
      <c r="F890" s="146"/>
      <c r="G890" s="146"/>
      <c r="H890" s="146"/>
      <c r="I890" s="146"/>
      <c r="J890" s="146"/>
      <c r="K890" s="146"/>
      <c r="L890" s="146"/>
    </row>
    <row r="891" spans="2:12" x14ac:dyDescent="0.2">
      <c r="B891" s="146"/>
      <c r="C891" s="146"/>
      <c r="D891" s="146"/>
      <c r="E891" s="146"/>
      <c r="F891" s="146"/>
      <c r="G891" s="146"/>
      <c r="H891" s="146"/>
      <c r="I891" s="146"/>
      <c r="J891" s="146"/>
      <c r="K891" s="146"/>
      <c r="L891" s="146"/>
    </row>
    <row r="892" spans="2:12" x14ac:dyDescent="0.2">
      <c r="B892" s="146"/>
      <c r="C892" s="146"/>
      <c r="D892" s="146"/>
      <c r="E892" s="146"/>
      <c r="F892" s="146"/>
      <c r="G892" s="146"/>
      <c r="H892" s="146"/>
      <c r="I892" s="146"/>
      <c r="J892" s="146"/>
      <c r="K892" s="146"/>
      <c r="L892" s="146"/>
    </row>
    <row r="893" spans="2:12" x14ac:dyDescent="0.2">
      <c r="B893" s="146"/>
      <c r="C893" s="146"/>
      <c r="D893" s="146"/>
      <c r="E893" s="146"/>
      <c r="F893" s="146"/>
      <c r="G893" s="146"/>
      <c r="H893" s="146"/>
      <c r="I893" s="146"/>
      <c r="J893" s="146"/>
      <c r="K893" s="146"/>
      <c r="L893" s="146"/>
    </row>
    <row r="894" spans="2:12" x14ac:dyDescent="0.2">
      <c r="B894" s="146"/>
      <c r="C894" s="146"/>
      <c r="D894" s="146"/>
      <c r="E894" s="146"/>
      <c r="F894" s="146"/>
      <c r="G894" s="146"/>
      <c r="H894" s="146"/>
      <c r="I894" s="146"/>
      <c r="J894" s="146"/>
      <c r="K894" s="146"/>
      <c r="L894" s="146"/>
    </row>
    <row r="895" spans="2:12" x14ac:dyDescent="0.2">
      <c r="B895" s="146"/>
      <c r="C895" s="146"/>
      <c r="D895" s="146"/>
      <c r="E895" s="146"/>
      <c r="F895" s="146"/>
      <c r="G895" s="146"/>
      <c r="H895" s="146"/>
      <c r="I895" s="146"/>
      <c r="J895" s="146"/>
      <c r="K895" s="146"/>
      <c r="L895" s="146"/>
    </row>
    <row r="896" spans="2:12" x14ac:dyDescent="0.2">
      <c r="B896" s="146"/>
      <c r="C896" s="146"/>
      <c r="D896" s="146"/>
      <c r="E896" s="146"/>
      <c r="F896" s="146"/>
      <c r="G896" s="146"/>
      <c r="H896" s="146"/>
      <c r="I896" s="146"/>
      <c r="J896" s="146"/>
      <c r="K896" s="146"/>
      <c r="L896" s="146"/>
    </row>
    <row r="897" spans="2:12" x14ac:dyDescent="0.2">
      <c r="B897" s="146"/>
      <c r="C897" s="146"/>
      <c r="D897" s="146"/>
      <c r="E897" s="146"/>
      <c r="F897" s="146"/>
      <c r="G897" s="146"/>
      <c r="H897" s="146"/>
      <c r="I897" s="146"/>
      <c r="J897" s="146"/>
      <c r="K897" s="146"/>
      <c r="L897" s="146"/>
    </row>
    <row r="898" spans="2:12" x14ac:dyDescent="0.2">
      <c r="B898" s="146"/>
      <c r="C898" s="146"/>
      <c r="D898" s="146"/>
      <c r="E898" s="146"/>
      <c r="F898" s="146"/>
      <c r="G898" s="146"/>
      <c r="H898" s="146"/>
      <c r="I898" s="146"/>
      <c r="J898" s="146"/>
      <c r="K898" s="146"/>
      <c r="L898" s="146"/>
    </row>
    <row r="899" spans="2:12" x14ac:dyDescent="0.2">
      <c r="B899" s="146"/>
      <c r="C899" s="146"/>
      <c r="D899" s="146"/>
      <c r="E899" s="146"/>
      <c r="F899" s="146"/>
      <c r="G899" s="146"/>
      <c r="H899" s="146"/>
      <c r="I899" s="146"/>
      <c r="J899" s="146"/>
      <c r="K899" s="146"/>
      <c r="L899" s="146"/>
    </row>
    <row r="900" spans="2:12" x14ac:dyDescent="0.2">
      <c r="B900" s="146"/>
      <c r="C900" s="146"/>
      <c r="D900" s="146"/>
      <c r="E900" s="146"/>
      <c r="F900" s="146"/>
      <c r="G900" s="146"/>
      <c r="H900" s="146"/>
      <c r="I900" s="146"/>
      <c r="J900" s="146"/>
      <c r="K900" s="146"/>
      <c r="L900" s="146"/>
    </row>
    <row r="901" spans="2:12" x14ac:dyDescent="0.2">
      <c r="B901" s="146"/>
      <c r="C901" s="146"/>
      <c r="D901" s="146"/>
      <c r="E901" s="146"/>
      <c r="F901" s="146"/>
      <c r="G901" s="146"/>
      <c r="H901" s="146"/>
      <c r="I901" s="146"/>
      <c r="J901" s="146"/>
      <c r="K901" s="146"/>
      <c r="L901" s="146"/>
    </row>
    <row r="902" spans="2:12" x14ac:dyDescent="0.2">
      <c r="B902" s="146"/>
      <c r="C902" s="146"/>
      <c r="D902" s="146"/>
      <c r="E902" s="146"/>
      <c r="F902" s="146"/>
      <c r="G902" s="146"/>
      <c r="H902" s="146"/>
      <c r="I902" s="146"/>
      <c r="J902" s="146"/>
      <c r="K902" s="146"/>
      <c r="L902" s="146"/>
    </row>
    <row r="903" spans="2:12" x14ac:dyDescent="0.2">
      <c r="B903" s="146"/>
      <c r="C903" s="146"/>
      <c r="D903" s="146"/>
      <c r="E903" s="146"/>
      <c r="F903" s="146"/>
      <c r="G903" s="146"/>
      <c r="H903" s="146"/>
      <c r="I903" s="146"/>
      <c r="J903" s="146"/>
      <c r="K903" s="146"/>
      <c r="L903" s="146"/>
    </row>
    <row r="904" spans="2:12" x14ac:dyDescent="0.2">
      <c r="B904" s="146"/>
      <c r="C904" s="146"/>
      <c r="D904" s="146"/>
      <c r="E904" s="146"/>
      <c r="F904" s="146"/>
      <c r="G904" s="146"/>
      <c r="H904" s="146"/>
      <c r="I904" s="146"/>
      <c r="J904" s="146"/>
      <c r="K904" s="146"/>
      <c r="L904" s="146"/>
    </row>
    <row r="905" spans="2:12" x14ac:dyDescent="0.2">
      <c r="B905" s="146"/>
      <c r="C905" s="146"/>
      <c r="D905" s="146"/>
      <c r="E905" s="146"/>
      <c r="F905" s="146"/>
      <c r="G905" s="146"/>
      <c r="H905" s="146"/>
      <c r="I905" s="146"/>
      <c r="J905" s="146"/>
      <c r="K905" s="146"/>
      <c r="L905" s="146"/>
    </row>
    <row r="906" spans="2:12" x14ac:dyDescent="0.2">
      <c r="B906" s="146"/>
      <c r="C906" s="146"/>
      <c r="D906" s="146"/>
      <c r="E906" s="146"/>
      <c r="F906" s="146"/>
      <c r="G906" s="146"/>
      <c r="H906" s="146"/>
      <c r="I906" s="146"/>
      <c r="J906" s="146"/>
      <c r="K906" s="146"/>
      <c r="L906" s="146"/>
    </row>
    <row r="907" spans="2:12" x14ac:dyDescent="0.2">
      <c r="B907" s="146"/>
      <c r="C907" s="146"/>
      <c r="D907" s="146"/>
      <c r="E907" s="146"/>
      <c r="F907" s="146"/>
      <c r="G907" s="146"/>
      <c r="H907" s="146"/>
      <c r="I907" s="146"/>
      <c r="J907" s="146"/>
      <c r="K907" s="146"/>
      <c r="L907" s="146"/>
    </row>
    <row r="908" spans="2:12" x14ac:dyDescent="0.2">
      <c r="B908" s="146"/>
      <c r="C908" s="146"/>
      <c r="D908" s="146"/>
      <c r="E908" s="146"/>
      <c r="F908" s="146"/>
      <c r="G908" s="146"/>
      <c r="H908" s="146"/>
      <c r="I908" s="146"/>
      <c r="J908" s="146"/>
      <c r="K908" s="146"/>
      <c r="L908" s="146"/>
    </row>
    <row r="909" spans="2:12" x14ac:dyDescent="0.2">
      <c r="B909" s="146"/>
      <c r="C909" s="146"/>
      <c r="D909" s="146"/>
      <c r="E909" s="146"/>
      <c r="F909" s="146"/>
      <c r="G909" s="146"/>
      <c r="H909" s="146"/>
      <c r="I909" s="146"/>
      <c r="J909" s="146"/>
      <c r="K909" s="146"/>
      <c r="L909" s="146"/>
    </row>
    <row r="910" spans="2:12" x14ac:dyDescent="0.2">
      <c r="B910" s="146"/>
      <c r="C910" s="146"/>
      <c r="D910" s="146"/>
      <c r="E910" s="146"/>
      <c r="F910" s="146"/>
      <c r="G910" s="146"/>
      <c r="H910" s="146"/>
      <c r="I910" s="146"/>
      <c r="J910" s="146"/>
      <c r="K910" s="146"/>
      <c r="L910" s="146"/>
    </row>
    <row r="911" spans="2:12" x14ac:dyDescent="0.2">
      <c r="B911" s="146"/>
      <c r="C911" s="146"/>
      <c r="D911" s="146"/>
      <c r="E911" s="146"/>
      <c r="F911" s="146"/>
      <c r="G911" s="146"/>
      <c r="H911" s="146"/>
      <c r="I911" s="146"/>
      <c r="J911" s="146"/>
      <c r="K911" s="146"/>
      <c r="L911" s="146"/>
    </row>
    <row r="912" spans="2:12" x14ac:dyDescent="0.2">
      <c r="B912" s="146"/>
      <c r="C912" s="146"/>
      <c r="D912" s="146"/>
      <c r="E912" s="146"/>
      <c r="F912" s="146"/>
      <c r="G912" s="146"/>
      <c r="H912" s="146"/>
      <c r="I912" s="146"/>
      <c r="J912" s="146"/>
      <c r="K912" s="146"/>
      <c r="L912" s="146"/>
    </row>
    <row r="913" spans="2:12" x14ac:dyDescent="0.2">
      <c r="B913" s="146"/>
      <c r="C913" s="146"/>
      <c r="D913" s="146"/>
      <c r="E913" s="146"/>
      <c r="F913" s="146"/>
      <c r="G913" s="146"/>
      <c r="H913" s="146"/>
      <c r="I913" s="146"/>
      <c r="J913" s="146"/>
      <c r="K913" s="146"/>
      <c r="L913" s="146"/>
    </row>
    <row r="914" spans="2:12" x14ac:dyDescent="0.2">
      <c r="B914" s="146"/>
      <c r="C914" s="146"/>
      <c r="D914" s="146"/>
      <c r="E914" s="146"/>
      <c r="F914" s="146"/>
      <c r="G914" s="146"/>
      <c r="H914" s="146"/>
      <c r="I914" s="146"/>
      <c r="J914" s="146"/>
      <c r="K914" s="146"/>
      <c r="L914" s="146"/>
    </row>
    <row r="915" spans="2:12" x14ac:dyDescent="0.2">
      <c r="B915" s="146"/>
      <c r="C915" s="146"/>
      <c r="D915" s="146"/>
      <c r="E915" s="146"/>
      <c r="F915" s="146"/>
      <c r="G915" s="146"/>
      <c r="H915" s="146"/>
      <c r="I915" s="146"/>
      <c r="J915" s="146"/>
      <c r="K915" s="146"/>
      <c r="L915" s="146"/>
    </row>
    <row r="916" spans="2:12" x14ac:dyDescent="0.2">
      <c r="B916" s="146"/>
      <c r="C916" s="146"/>
      <c r="D916" s="146"/>
      <c r="E916" s="146"/>
      <c r="F916" s="146"/>
      <c r="G916" s="146"/>
      <c r="H916" s="146"/>
      <c r="I916" s="146"/>
      <c r="J916" s="146"/>
      <c r="K916" s="146"/>
      <c r="L916" s="146"/>
    </row>
    <row r="917" spans="2:12" x14ac:dyDescent="0.2">
      <c r="B917" s="146"/>
      <c r="C917" s="146"/>
      <c r="D917" s="146"/>
      <c r="E917" s="146"/>
      <c r="F917" s="146"/>
      <c r="G917" s="146"/>
      <c r="H917" s="146"/>
      <c r="I917" s="146"/>
      <c r="J917" s="146"/>
      <c r="K917" s="146"/>
      <c r="L917" s="146"/>
    </row>
    <row r="918" spans="2:12" x14ac:dyDescent="0.2">
      <c r="B918" s="146"/>
      <c r="C918" s="146"/>
      <c r="D918" s="146"/>
      <c r="E918" s="146"/>
      <c r="F918" s="146"/>
      <c r="G918" s="146"/>
      <c r="H918" s="146"/>
      <c r="I918" s="146"/>
      <c r="J918" s="146"/>
      <c r="K918" s="146"/>
      <c r="L918" s="146"/>
    </row>
    <row r="919" spans="2:12" x14ac:dyDescent="0.2">
      <c r="B919" s="146"/>
      <c r="C919" s="146"/>
      <c r="D919" s="146"/>
      <c r="E919" s="146"/>
      <c r="F919" s="146"/>
      <c r="G919" s="146"/>
      <c r="H919" s="146"/>
      <c r="I919" s="146"/>
      <c r="J919" s="146"/>
      <c r="K919" s="146"/>
      <c r="L919" s="146"/>
    </row>
    <row r="920" spans="2:12" x14ac:dyDescent="0.2">
      <c r="B920" s="146"/>
      <c r="C920" s="146"/>
      <c r="D920" s="146"/>
      <c r="E920" s="146"/>
      <c r="F920" s="146"/>
      <c r="G920" s="146"/>
      <c r="H920" s="146"/>
      <c r="I920" s="146"/>
      <c r="J920" s="146"/>
      <c r="K920" s="146"/>
      <c r="L920" s="146"/>
    </row>
    <row r="921" spans="2:12" x14ac:dyDescent="0.2">
      <c r="B921" s="146"/>
      <c r="C921" s="146"/>
      <c r="D921" s="146"/>
      <c r="E921" s="146"/>
      <c r="F921" s="146"/>
      <c r="G921" s="146"/>
      <c r="H921" s="146"/>
      <c r="I921" s="146"/>
      <c r="J921" s="146"/>
      <c r="K921" s="146"/>
      <c r="L921" s="146"/>
    </row>
    <row r="922" spans="2:12" x14ac:dyDescent="0.2">
      <c r="B922" s="146"/>
      <c r="C922" s="146"/>
      <c r="D922" s="146"/>
      <c r="E922" s="146"/>
      <c r="F922" s="146"/>
      <c r="G922" s="146"/>
      <c r="H922" s="146"/>
      <c r="I922" s="146"/>
      <c r="J922" s="146"/>
      <c r="K922" s="146"/>
      <c r="L922" s="146"/>
    </row>
    <row r="923" spans="2:12" x14ac:dyDescent="0.2">
      <c r="B923" s="146"/>
      <c r="C923" s="146"/>
      <c r="D923" s="146"/>
      <c r="E923" s="146"/>
      <c r="F923" s="146"/>
      <c r="G923" s="146"/>
      <c r="H923" s="146"/>
      <c r="I923" s="146"/>
      <c r="J923" s="146"/>
      <c r="K923" s="146"/>
      <c r="L923" s="146"/>
    </row>
    <row r="924" spans="2:12" x14ac:dyDescent="0.2">
      <c r="B924" s="146"/>
      <c r="C924" s="146"/>
      <c r="D924" s="146"/>
      <c r="E924" s="146"/>
      <c r="F924" s="146"/>
      <c r="G924" s="146"/>
      <c r="H924" s="146"/>
      <c r="I924" s="146"/>
      <c r="J924" s="146"/>
      <c r="K924" s="146"/>
      <c r="L924" s="146"/>
    </row>
    <row r="925" spans="2:12" x14ac:dyDescent="0.2">
      <c r="B925" s="146"/>
      <c r="C925" s="146"/>
      <c r="D925" s="146"/>
      <c r="E925" s="146"/>
      <c r="F925" s="146"/>
      <c r="G925" s="146"/>
      <c r="H925" s="146"/>
      <c r="I925" s="146"/>
      <c r="J925" s="146"/>
      <c r="K925" s="146"/>
      <c r="L925" s="146"/>
    </row>
    <row r="926" spans="2:12" x14ac:dyDescent="0.2">
      <c r="B926" s="146"/>
      <c r="C926" s="146"/>
      <c r="D926" s="146"/>
      <c r="E926" s="146"/>
      <c r="F926" s="146"/>
      <c r="G926" s="146"/>
      <c r="H926" s="146"/>
      <c r="I926" s="146"/>
      <c r="J926" s="146"/>
      <c r="K926" s="146"/>
      <c r="L926" s="146"/>
    </row>
    <row r="927" spans="2:12" x14ac:dyDescent="0.2">
      <c r="B927" s="146"/>
      <c r="C927" s="146"/>
      <c r="D927" s="146"/>
      <c r="E927" s="146"/>
      <c r="F927" s="146"/>
      <c r="G927" s="146"/>
      <c r="H927" s="146"/>
      <c r="I927" s="146"/>
      <c r="J927" s="146"/>
      <c r="K927" s="146"/>
      <c r="L927" s="146"/>
    </row>
  </sheetData>
  <sheetProtection password="CCC8" sheet="1" objects="1" scenarios="1" selectLockedCells="1"/>
  <mergeCells count="3">
    <mergeCell ref="F72:H72"/>
    <mergeCell ref="O3:P3"/>
    <mergeCell ref="A1:Q1"/>
  </mergeCells>
  <phoneticPr fontId="5" type="noConversion"/>
  <conditionalFormatting sqref="E12">
    <cfRule type="cellIs" dxfId="26" priority="23" stopIfTrue="1" operator="notBetween">
      <formula>1000</formula>
      <formula>100</formula>
    </cfRule>
    <cfRule type="cellIs" dxfId="25" priority="24" stopIfTrue="1" operator="notBetween">
      <formula>$E$11*0.8</formula>
      <formula>$E$11*1.5</formula>
    </cfRule>
  </conditionalFormatting>
  <conditionalFormatting sqref="E7">
    <cfRule type="cellIs" dxfId="24" priority="25" stopIfTrue="1" operator="notBetween">
      <formula>75</formula>
      <formula>6</formula>
    </cfRule>
  </conditionalFormatting>
  <conditionalFormatting sqref="E11">
    <cfRule type="cellIs" dxfId="23" priority="26" stopIfTrue="1" operator="notBetween">
      <formula>1000</formula>
      <formula>100</formula>
    </cfRule>
    <cfRule type="cellIs" dxfId="22" priority="27" stopIfTrue="1" operator="notBetween">
      <formula>$E$12/1.5</formula>
      <formula>$E$12/0.8</formula>
    </cfRule>
  </conditionalFormatting>
  <conditionalFormatting sqref="E30">
    <cfRule type="cellIs" dxfId="21" priority="20" stopIfTrue="1" operator="lessThanOrEqual">
      <formula>0</formula>
    </cfRule>
  </conditionalFormatting>
  <conditionalFormatting sqref="E32">
    <cfRule type="cellIs" dxfId="20" priority="19" stopIfTrue="1" operator="lessThan">
      <formula>$E$31</formula>
    </cfRule>
  </conditionalFormatting>
  <conditionalFormatting sqref="E34">
    <cfRule type="cellIs" dxfId="19" priority="18" stopIfTrue="1" operator="greaterThan">
      <formula>$E$33</formula>
    </cfRule>
  </conditionalFormatting>
  <conditionalFormatting sqref="E39">
    <cfRule type="cellIs" dxfId="18" priority="16" stopIfTrue="1" operator="equal">
      <formula>0</formula>
    </cfRule>
  </conditionalFormatting>
  <conditionalFormatting sqref="E41">
    <cfRule type="cellIs" dxfId="17" priority="15" stopIfTrue="1" operator="lessThan">
      <formula>$E$40</formula>
    </cfRule>
  </conditionalFormatting>
  <conditionalFormatting sqref="E43">
    <cfRule type="cellIs" dxfId="16" priority="13" stopIfTrue="1" operator="greaterThan">
      <formula>$E$42</formula>
    </cfRule>
    <cfRule type="cellIs" dxfId="15" priority="14" stopIfTrue="1" operator="equal">
      <formula>0</formula>
    </cfRule>
  </conditionalFormatting>
  <conditionalFormatting sqref="E50">
    <cfRule type="cellIs" dxfId="14" priority="11" operator="notBetween">
      <formula>75</formula>
      <formula>6</formula>
    </cfRule>
  </conditionalFormatting>
  <conditionalFormatting sqref="E51">
    <cfRule type="cellIs" dxfId="13" priority="10" operator="notBetween">
      <formula>75</formula>
      <formula>6</formula>
    </cfRule>
  </conditionalFormatting>
  <conditionalFormatting sqref="E9">
    <cfRule type="cellIs" dxfId="12" priority="28" operator="greaterThan">
      <formula>$E$7</formula>
    </cfRule>
    <cfRule type="cellIs" dxfId="11" priority="29" stopIfTrue="1" operator="notBetween">
      <formula>0.8</formula>
      <formula>60</formula>
    </cfRule>
  </conditionalFormatting>
  <conditionalFormatting sqref="E6">
    <cfRule type="cellIs" dxfId="10" priority="7" operator="notBetween">
      <formula>75</formula>
      <formula>6</formula>
    </cfRule>
  </conditionalFormatting>
  <conditionalFormatting sqref="E8">
    <cfRule type="cellIs" dxfId="9" priority="6" stopIfTrue="1" operator="notBetween">
      <formula>75</formula>
      <formula>6</formula>
    </cfRule>
  </conditionalFormatting>
  <conditionalFormatting sqref="D23:F23">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06" max="16" man="1"/>
  </rowBreaks>
  <ignoredErrors>
    <ignoredError sqref="E71"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6" r:id="rId6" name="Button 798">
              <controlPr locked="0" defaultSize="0" print="0" autoFill="0" autoPict="0" macro="[0]!RESETValues">
                <anchor moveWithCells="1" sizeWithCells="1">
                  <from>
                    <xdr:col>2</xdr:col>
                    <xdr:colOff>390525</xdr:colOff>
                    <xdr:row>73</xdr:row>
                    <xdr:rowOff>9525</xdr:rowOff>
                  </from>
                  <to>
                    <xdr:col>3</xdr:col>
                    <xdr:colOff>9525</xdr:colOff>
                    <xdr:row>76</xdr:row>
                    <xdr:rowOff>19050</xdr:rowOff>
                  </to>
                </anchor>
              </controlPr>
            </control>
          </mc:Choice>
        </mc:AlternateContent>
        <mc:AlternateContent xmlns:mc="http://schemas.openxmlformats.org/markup-compatibility/2006">
          <mc:Choice Requires="x14">
            <control shapeId="673565" r:id="rId7" name="Button 797">
              <controlPr locked="0" defaultSize="0" print="0" autoFill="0" autoPict="0" macro="[0]!FIXValues">
                <anchor moveWithCells="1" sizeWithCells="1">
                  <from>
                    <xdr:col>2</xdr:col>
                    <xdr:colOff>390525</xdr:colOff>
                    <xdr:row>73</xdr:row>
                    <xdr:rowOff>9525</xdr:rowOff>
                  </from>
                  <to>
                    <xdr:col>3</xdr:col>
                    <xdr:colOff>9525</xdr:colOff>
                    <xdr:row>76</xdr:row>
                    <xdr:rowOff>19050</xdr:rowOff>
                  </to>
                </anchor>
              </controlPr>
            </control>
          </mc:Choice>
        </mc:AlternateContent>
        <mc:AlternateContent xmlns:mc="http://schemas.openxmlformats.org/markup-compatibility/2006">
          <mc:Choice Requires="x14">
            <control shapeId="672829" r:id="rId8" name="Spinner 61">
              <controlPr defaultSize="0" autoPict="0">
                <anchor moveWithCells="1" sizeWithCells="1">
                  <from>
                    <xdr:col>5</xdr:col>
                    <xdr:colOff>0</xdr:colOff>
                    <xdr:row>58</xdr:row>
                    <xdr:rowOff>161925</xdr:rowOff>
                  </from>
                  <to>
                    <xdr:col>5</xdr:col>
                    <xdr:colOff>180975</xdr:colOff>
                    <xdr:row>60</xdr:row>
                    <xdr:rowOff>9525</xdr:rowOff>
                  </to>
                </anchor>
              </controlPr>
            </control>
          </mc:Choice>
        </mc:AlternateContent>
        <mc:AlternateContent xmlns:mc="http://schemas.openxmlformats.org/markup-compatibility/2006">
          <mc:Choice Requires="x14">
            <control shapeId="672830" r:id="rId9" name="Spinner 62">
              <controlPr defaultSize="0" autoPict="0">
                <anchor moveWithCells="1" sizeWithCells="1">
                  <from>
                    <xdr:col>5</xdr:col>
                    <xdr:colOff>0</xdr:colOff>
                    <xdr:row>65</xdr:row>
                    <xdr:rowOff>0</xdr:rowOff>
                  </from>
                  <to>
                    <xdr:col>5</xdr:col>
                    <xdr:colOff>180975</xdr:colOff>
                    <xdr:row>66</xdr:row>
                    <xdr:rowOff>0</xdr:rowOff>
                  </to>
                </anchor>
              </controlPr>
            </control>
          </mc:Choice>
        </mc:AlternateContent>
        <mc:AlternateContent xmlns:mc="http://schemas.openxmlformats.org/markup-compatibility/2006">
          <mc:Choice Requires="x14">
            <control shapeId="672831" r:id="rId10" name="Spinner 63">
              <controlPr defaultSize="0" autoPict="0">
                <anchor moveWithCells="1" sizeWithCells="1">
                  <from>
                    <xdr:col>5</xdr:col>
                    <xdr:colOff>0</xdr:colOff>
                    <xdr:row>66</xdr:row>
                    <xdr:rowOff>0</xdr:rowOff>
                  </from>
                  <to>
                    <xdr:col>5</xdr:col>
                    <xdr:colOff>180975</xdr:colOff>
                    <xdr:row>66</xdr:row>
                    <xdr:rowOff>190500</xdr:rowOff>
                  </to>
                </anchor>
              </controlPr>
            </control>
          </mc:Choice>
        </mc:AlternateContent>
        <mc:AlternateContent xmlns:mc="http://schemas.openxmlformats.org/markup-compatibility/2006">
          <mc:Choice Requires="x14">
            <control shapeId="672832" r:id="rId11" name="Spinner 64">
              <controlPr defaultSize="0" autoPict="0">
                <anchor moveWithCells="1" sizeWithCells="1">
                  <from>
                    <xdr:col>5</xdr:col>
                    <xdr:colOff>0</xdr:colOff>
                    <xdr:row>67</xdr:row>
                    <xdr:rowOff>0</xdr:rowOff>
                  </from>
                  <to>
                    <xdr:col>5</xdr:col>
                    <xdr:colOff>180975</xdr:colOff>
                    <xdr:row>67</xdr:row>
                    <xdr:rowOff>190500</xdr:rowOff>
                  </to>
                </anchor>
              </controlPr>
            </control>
          </mc:Choice>
        </mc:AlternateContent>
        <mc:AlternateContent xmlns:mc="http://schemas.openxmlformats.org/markup-compatibility/2006">
          <mc:Choice Requires="x14">
            <control shapeId="672833" r:id="rId12" name="Spinner 65">
              <controlPr defaultSize="0" autoPict="0">
                <anchor moveWithCells="1" sizeWithCells="1">
                  <from>
                    <xdr:col>5</xdr:col>
                    <xdr:colOff>0</xdr:colOff>
                    <xdr:row>68</xdr:row>
                    <xdr:rowOff>0</xdr:rowOff>
                  </from>
                  <to>
                    <xdr:col>5</xdr:col>
                    <xdr:colOff>180975</xdr:colOff>
                    <xdr:row>68</xdr:row>
                    <xdr:rowOff>190500</xdr:rowOff>
                  </to>
                </anchor>
              </controlPr>
            </control>
          </mc:Choice>
        </mc:AlternateContent>
        <mc:AlternateContent xmlns:mc="http://schemas.openxmlformats.org/markup-compatibility/2006">
          <mc:Choice Requires="x14">
            <control shapeId="672871" r:id="rId13" name="Drop Down 103">
              <controlPr defaultSize="0" autoLine="0" autoPict="0">
                <anchor moveWithCells="1">
                  <from>
                    <xdr:col>0</xdr:col>
                    <xdr:colOff>9525</xdr:colOff>
                    <xdr:row>22</xdr:row>
                    <xdr:rowOff>0</xdr:rowOff>
                  </from>
                  <to>
                    <xdr:col>1</xdr:col>
                    <xdr:colOff>523875</xdr:colOff>
                    <xdr:row>23</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D27:F27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37" zoomScaleNormal="100" workbookViewId="0">
      <selection activeCell="O51" sqref="O51"/>
    </sheetView>
  </sheetViews>
  <sheetFormatPr defaultRowHeight="12.75" x14ac:dyDescent="0.2"/>
  <cols>
    <col min="1" max="1" width="8.7109375" style="359" bestFit="1" customWidth="1"/>
    <col min="2" max="2" width="14.85546875" style="359" customWidth="1"/>
    <col min="3" max="3" width="16.140625" style="359" bestFit="1" customWidth="1"/>
    <col min="4" max="4" width="20.140625" style="359" customWidth="1"/>
    <col min="5" max="5" width="17.28515625" style="359" customWidth="1"/>
    <col min="6" max="6" width="20.5703125" style="359" bestFit="1" customWidth="1"/>
    <col min="7" max="7" width="9.7109375" style="359" customWidth="1"/>
    <col min="8" max="8" width="16.140625" style="359" customWidth="1"/>
    <col min="9" max="9" width="15.28515625" style="359" customWidth="1"/>
    <col min="10" max="10" width="12.7109375" style="359" customWidth="1"/>
    <col min="11" max="11" width="17.140625" style="359" customWidth="1"/>
    <col min="12" max="12" width="13.85546875" style="359" customWidth="1"/>
    <col min="13" max="13" width="9.140625" style="360"/>
    <col min="14" max="16" width="9.140625" style="359"/>
    <col min="17" max="17" width="4.85546875" style="359" customWidth="1"/>
    <col min="18" max="256" width="9.140625" style="359"/>
    <col min="257" max="257" width="8.7109375" style="359" bestFit="1" customWidth="1"/>
    <col min="258" max="258" width="13.28515625" style="359" customWidth="1"/>
    <col min="259" max="259" width="16.140625" style="359" bestFit="1" customWidth="1"/>
    <col min="260" max="260" width="23.5703125" style="359" customWidth="1"/>
    <col min="261" max="261" width="17.28515625" style="359" customWidth="1"/>
    <col min="262" max="262" width="20.5703125" style="359" bestFit="1" customWidth="1"/>
    <col min="263" max="263" width="17.140625" style="359" customWidth="1"/>
    <col min="264" max="264" width="21.85546875" style="359" bestFit="1" customWidth="1"/>
    <col min="265" max="265" width="17.140625" style="359" bestFit="1" customWidth="1"/>
    <col min="266" max="266" width="18.140625" style="359" bestFit="1" customWidth="1"/>
    <col min="267" max="267" width="26.42578125" style="359" customWidth="1"/>
    <col min="268" max="512" width="9.140625" style="359"/>
    <col min="513" max="513" width="8.7109375" style="359" bestFit="1" customWidth="1"/>
    <col min="514" max="514" width="13.28515625" style="359" customWidth="1"/>
    <col min="515" max="515" width="16.140625" style="359" bestFit="1" customWidth="1"/>
    <col min="516" max="516" width="23.5703125" style="359" customWidth="1"/>
    <col min="517" max="517" width="17.28515625" style="359" customWidth="1"/>
    <col min="518" max="518" width="20.5703125" style="359" bestFit="1" customWidth="1"/>
    <col min="519" max="519" width="17.140625" style="359" customWidth="1"/>
    <col min="520" max="520" width="21.85546875" style="359" bestFit="1" customWidth="1"/>
    <col min="521" max="521" width="17.140625" style="359" bestFit="1" customWidth="1"/>
    <col min="522" max="522" width="18.140625" style="359" bestFit="1" customWidth="1"/>
    <col min="523" max="523" width="26.42578125" style="359" customWidth="1"/>
    <col min="524" max="768" width="9.140625" style="359"/>
    <col min="769" max="769" width="8.7109375" style="359" bestFit="1" customWidth="1"/>
    <col min="770" max="770" width="13.28515625" style="359" customWidth="1"/>
    <col min="771" max="771" width="16.140625" style="359" bestFit="1" customWidth="1"/>
    <col min="772" max="772" width="23.5703125" style="359" customWidth="1"/>
    <col min="773" max="773" width="17.28515625" style="359" customWidth="1"/>
    <col min="774" max="774" width="20.5703125" style="359" bestFit="1" customWidth="1"/>
    <col min="775" max="775" width="17.140625" style="359" customWidth="1"/>
    <col min="776" max="776" width="21.85546875" style="359" bestFit="1" customWidth="1"/>
    <col min="777" max="777" width="17.140625" style="359" bestFit="1" customWidth="1"/>
    <col min="778" max="778" width="18.140625" style="359" bestFit="1" customWidth="1"/>
    <col min="779" max="779" width="26.42578125" style="359" customWidth="1"/>
    <col min="780" max="1024" width="9.140625" style="359"/>
    <col min="1025" max="1025" width="8.7109375" style="359" bestFit="1" customWidth="1"/>
    <col min="1026" max="1026" width="13.28515625" style="359" customWidth="1"/>
    <col min="1027" max="1027" width="16.140625" style="359" bestFit="1" customWidth="1"/>
    <col min="1028" max="1028" width="23.5703125" style="359" customWidth="1"/>
    <col min="1029" max="1029" width="17.28515625" style="359" customWidth="1"/>
    <col min="1030" max="1030" width="20.5703125" style="359" bestFit="1" customWidth="1"/>
    <col min="1031" max="1031" width="17.140625" style="359" customWidth="1"/>
    <col min="1032" max="1032" width="21.85546875" style="359" bestFit="1" customWidth="1"/>
    <col min="1033" max="1033" width="17.140625" style="359" bestFit="1" customWidth="1"/>
    <col min="1034" max="1034" width="18.140625" style="359" bestFit="1" customWidth="1"/>
    <col min="1035" max="1035" width="26.42578125" style="359" customWidth="1"/>
    <col min="1036" max="1280" width="9.140625" style="359"/>
    <col min="1281" max="1281" width="8.7109375" style="359" bestFit="1" customWidth="1"/>
    <col min="1282" max="1282" width="13.28515625" style="359" customWidth="1"/>
    <col min="1283" max="1283" width="16.140625" style="359" bestFit="1" customWidth="1"/>
    <col min="1284" max="1284" width="23.5703125" style="359" customWidth="1"/>
    <col min="1285" max="1285" width="17.28515625" style="359" customWidth="1"/>
    <col min="1286" max="1286" width="20.5703125" style="359" bestFit="1" customWidth="1"/>
    <col min="1287" max="1287" width="17.140625" style="359" customWidth="1"/>
    <col min="1288" max="1288" width="21.85546875" style="359" bestFit="1" customWidth="1"/>
    <col min="1289" max="1289" width="17.140625" style="359" bestFit="1" customWidth="1"/>
    <col min="1290" max="1290" width="18.140625" style="359" bestFit="1" customWidth="1"/>
    <col min="1291" max="1291" width="26.42578125" style="359" customWidth="1"/>
    <col min="1292" max="1536" width="9.140625" style="359"/>
    <col min="1537" max="1537" width="8.7109375" style="359" bestFit="1" customWidth="1"/>
    <col min="1538" max="1538" width="13.28515625" style="359" customWidth="1"/>
    <col min="1539" max="1539" width="16.140625" style="359" bestFit="1" customWidth="1"/>
    <col min="1540" max="1540" width="23.5703125" style="359" customWidth="1"/>
    <col min="1541" max="1541" width="17.28515625" style="359" customWidth="1"/>
    <col min="1542" max="1542" width="20.5703125" style="359" bestFit="1" customWidth="1"/>
    <col min="1543" max="1543" width="17.140625" style="359" customWidth="1"/>
    <col min="1544" max="1544" width="21.85546875" style="359" bestFit="1" customWidth="1"/>
    <col min="1545" max="1545" width="17.140625" style="359" bestFit="1" customWidth="1"/>
    <col min="1546" max="1546" width="18.140625" style="359" bestFit="1" customWidth="1"/>
    <col min="1547" max="1547" width="26.42578125" style="359" customWidth="1"/>
    <col min="1548" max="1792" width="9.140625" style="359"/>
    <col min="1793" max="1793" width="8.7109375" style="359" bestFit="1" customWidth="1"/>
    <col min="1794" max="1794" width="13.28515625" style="359" customWidth="1"/>
    <col min="1795" max="1795" width="16.140625" style="359" bestFit="1" customWidth="1"/>
    <col min="1796" max="1796" width="23.5703125" style="359" customWidth="1"/>
    <col min="1797" max="1797" width="17.28515625" style="359" customWidth="1"/>
    <col min="1798" max="1798" width="20.5703125" style="359" bestFit="1" customWidth="1"/>
    <col min="1799" max="1799" width="17.140625" style="359" customWidth="1"/>
    <col min="1800" max="1800" width="21.85546875" style="359" bestFit="1" customWidth="1"/>
    <col min="1801" max="1801" width="17.140625" style="359" bestFit="1" customWidth="1"/>
    <col min="1802" max="1802" width="18.140625" style="359" bestFit="1" customWidth="1"/>
    <col min="1803" max="1803" width="26.42578125" style="359" customWidth="1"/>
    <col min="1804" max="2048" width="9.140625" style="359"/>
    <col min="2049" max="2049" width="8.7109375" style="359" bestFit="1" customWidth="1"/>
    <col min="2050" max="2050" width="13.28515625" style="359" customWidth="1"/>
    <col min="2051" max="2051" width="16.140625" style="359" bestFit="1" customWidth="1"/>
    <col min="2052" max="2052" width="23.5703125" style="359" customWidth="1"/>
    <col min="2053" max="2053" width="17.28515625" style="359" customWidth="1"/>
    <col min="2054" max="2054" width="20.5703125" style="359" bestFit="1" customWidth="1"/>
    <col min="2055" max="2055" width="17.140625" style="359" customWidth="1"/>
    <col min="2056" max="2056" width="21.85546875" style="359" bestFit="1" customWidth="1"/>
    <col min="2057" max="2057" width="17.140625" style="359" bestFit="1" customWidth="1"/>
    <col min="2058" max="2058" width="18.140625" style="359" bestFit="1" customWidth="1"/>
    <col min="2059" max="2059" width="26.42578125" style="359" customWidth="1"/>
    <col min="2060" max="2304" width="9.140625" style="359"/>
    <col min="2305" max="2305" width="8.7109375" style="359" bestFit="1" customWidth="1"/>
    <col min="2306" max="2306" width="13.28515625" style="359" customWidth="1"/>
    <col min="2307" max="2307" width="16.140625" style="359" bestFit="1" customWidth="1"/>
    <col min="2308" max="2308" width="23.5703125" style="359" customWidth="1"/>
    <col min="2309" max="2309" width="17.28515625" style="359" customWidth="1"/>
    <col min="2310" max="2310" width="20.5703125" style="359" bestFit="1" customWidth="1"/>
    <col min="2311" max="2311" width="17.140625" style="359" customWidth="1"/>
    <col min="2312" max="2312" width="21.85546875" style="359" bestFit="1" customWidth="1"/>
    <col min="2313" max="2313" width="17.140625" style="359" bestFit="1" customWidth="1"/>
    <col min="2314" max="2314" width="18.140625" style="359" bestFit="1" customWidth="1"/>
    <col min="2315" max="2315" width="26.42578125" style="359" customWidth="1"/>
    <col min="2316" max="2560" width="9.140625" style="359"/>
    <col min="2561" max="2561" width="8.7109375" style="359" bestFit="1" customWidth="1"/>
    <col min="2562" max="2562" width="13.28515625" style="359" customWidth="1"/>
    <col min="2563" max="2563" width="16.140625" style="359" bestFit="1" customWidth="1"/>
    <col min="2564" max="2564" width="23.5703125" style="359" customWidth="1"/>
    <col min="2565" max="2565" width="17.28515625" style="359" customWidth="1"/>
    <col min="2566" max="2566" width="20.5703125" style="359" bestFit="1" customWidth="1"/>
    <col min="2567" max="2567" width="17.140625" style="359" customWidth="1"/>
    <col min="2568" max="2568" width="21.85546875" style="359" bestFit="1" customWidth="1"/>
    <col min="2569" max="2569" width="17.140625" style="359" bestFit="1" customWidth="1"/>
    <col min="2570" max="2570" width="18.140625" style="359" bestFit="1" customWidth="1"/>
    <col min="2571" max="2571" width="26.42578125" style="359" customWidth="1"/>
    <col min="2572" max="2816" width="9.140625" style="359"/>
    <col min="2817" max="2817" width="8.7109375" style="359" bestFit="1" customWidth="1"/>
    <col min="2818" max="2818" width="13.28515625" style="359" customWidth="1"/>
    <col min="2819" max="2819" width="16.140625" style="359" bestFit="1" customWidth="1"/>
    <col min="2820" max="2820" width="23.5703125" style="359" customWidth="1"/>
    <col min="2821" max="2821" width="17.28515625" style="359" customWidth="1"/>
    <col min="2822" max="2822" width="20.5703125" style="359" bestFit="1" customWidth="1"/>
    <col min="2823" max="2823" width="17.140625" style="359" customWidth="1"/>
    <col min="2824" max="2824" width="21.85546875" style="359" bestFit="1" customWidth="1"/>
    <col min="2825" max="2825" width="17.140625" style="359" bestFit="1" customWidth="1"/>
    <col min="2826" max="2826" width="18.140625" style="359" bestFit="1" customWidth="1"/>
    <col min="2827" max="2827" width="26.42578125" style="359" customWidth="1"/>
    <col min="2828" max="3072" width="9.140625" style="359"/>
    <col min="3073" max="3073" width="8.7109375" style="359" bestFit="1" customWidth="1"/>
    <col min="3074" max="3074" width="13.28515625" style="359" customWidth="1"/>
    <col min="3075" max="3075" width="16.140625" style="359" bestFit="1" customWidth="1"/>
    <col min="3076" max="3076" width="23.5703125" style="359" customWidth="1"/>
    <col min="3077" max="3077" width="17.28515625" style="359" customWidth="1"/>
    <col min="3078" max="3078" width="20.5703125" style="359" bestFit="1" customWidth="1"/>
    <col min="3079" max="3079" width="17.140625" style="359" customWidth="1"/>
    <col min="3080" max="3080" width="21.85546875" style="359" bestFit="1" customWidth="1"/>
    <col min="3081" max="3081" width="17.140625" style="359" bestFit="1" customWidth="1"/>
    <col min="3082" max="3082" width="18.140625" style="359" bestFit="1" customWidth="1"/>
    <col min="3083" max="3083" width="26.42578125" style="359" customWidth="1"/>
    <col min="3084" max="3328" width="9.140625" style="359"/>
    <col min="3329" max="3329" width="8.7109375" style="359" bestFit="1" customWidth="1"/>
    <col min="3330" max="3330" width="13.28515625" style="359" customWidth="1"/>
    <col min="3331" max="3331" width="16.140625" style="359" bestFit="1" customWidth="1"/>
    <col min="3332" max="3332" width="23.5703125" style="359" customWidth="1"/>
    <col min="3333" max="3333" width="17.28515625" style="359" customWidth="1"/>
    <col min="3334" max="3334" width="20.5703125" style="359" bestFit="1" customWidth="1"/>
    <col min="3335" max="3335" width="17.140625" style="359" customWidth="1"/>
    <col min="3336" max="3336" width="21.85546875" style="359" bestFit="1" customWidth="1"/>
    <col min="3337" max="3337" width="17.140625" style="359" bestFit="1" customWidth="1"/>
    <col min="3338" max="3338" width="18.140625" style="359" bestFit="1" customWidth="1"/>
    <col min="3339" max="3339" width="26.42578125" style="359" customWidth="1"/>
    <col min="3340" max="3584" width="9.140625" style="359"/>
    <col min="3585" max="3585" width="8.7109375" style="359" bestFit="1" customWidth="1"/>
    <col min="3586" max="3586" width="13.28515625" style="359" customWidth="1"/>
    <col min="3587" max="3587" width="16.140625" style="359" bestFit="1" customWidth="1"/>
    <col min="3588" max="3588" width="23.5703125" style="359" customWidth="1"/>
    <col min="3589" max="3589" width="17.28515625" style="359" customWidth="1"/>
    <col min="3590" max="3590" width="20.5703125" style="359" bestFit="1" customWidth="1"/>
    <col min="3591" max="3591" width="17.140625" style="359" customWidth="1"/>
    <col min="3592" max="3592" width="21.85546875" style="359" bestFit="1" customWidth="1"/>
    <col min="3593" max="3593" width="17.140625" style="359" bestFit="1" customWidth="1"/>
    <col min="3594" max="3594" width="18.140625" style="359" bestFit="1" customWidth="1"/>
    <col min="3595" max="3595" width="26.42578125" style="359" customWidth="1"/>
    <col min="3596" max="3840" width="9.140625" style="359"/>
    <col min="3841" max="3841" width="8.7109375" style="359" bestFit="1" customWidth="1"/>
    <col min="3842" max="3842" width="13.28515625" style="359" customWidth="1"/>
    <col min="3843" max="3843" width="16.140625" style="359" bestFit="1" customWidth="1"/>
    <col min="3844" max="3844" width="23.5703125" style="359" customWidth="1"/>
    <col min="3845" max="3845" width="17.28515625" style="359" customWidth="1"/>
    <col min="3846" max="3846" width="20.5703125" style="359" bestFit="1" customWidth="1"/>
    <col min="3847" max="3847" width="17.140625" style="359" customWidth="1"/>
    <col min="3848" max="3848" width="21.85546875" style="359" bestFit="1" customWidth="1"/>
    <col min="3849" max="3849" width="17.140625" style="359" bestFit="1" customWidth="1"/>
    <col min="3850" max="3850" width="18.140625" style="359" bestFit="1" customWidth="1"/>
    <col min="3851" max="3851" width="26.42578125" style="359" customWidth="1"/>
    <col min="3852" max="4096" width="9.140625" style="359"/>
    <col min="4097" max="4097" width="8.7109375" style="359" bestFit="1" customWidth="1"/>
    <col min="4098" max="4098" width="13.28515625" style="359" customWidth="1"/>
    <col min="4099" max="4099" width="16.140625" style="359" bestFit="1" customWidth="1"/>
    <col min="4100" max="4100" width="23.5703125" style="359" customWidth="1"/>
    <col min="4101" max="4101" width="17.28515625" style="359" customWidth="1"/>
    <col min="4102" max="4102" width="20.5703125" style="359" bestFit="1" customWidth="1"/>
    <col min="4103" max="4103" width="17.140625" style="359" customWidth="1"/>
    <col min="4104" max="4104" width="21.85546875" style="359" bestFit="1" customWidth="1"/>
    <col min="4105" max="4105" width="17.140625" style="359" bestFit="1" customWidth="1"/>
    <col min="4106" max="4106" width="18.140625" style="359" bestFit="1" customWidth="1"/>
    <col min="4107" max="4107" width="26.42578125" style="359" customWidth="1"/>
    <col min="4108" max="4352" width="9.140625" style="359"/>
    <col min="4353" max="4353" width="8.7109375" style="359" bestFit="1" customWidth="1"/>
    <col min="4354" max="4354" width="13.28515625" style="359" customWidth="1"/>
    <col min="4355" max="4355" width="16.140625" style="359" bestFit="1" customWidth="1"/>
    <col min="4356" max="4356" width="23.5703125" style="359" customWidth="1"/>
    <col min="4357" max="4357" width="17.28515625" style="359" customWidth="1"/>
    <col min="4358" max="4358" width="20.5703125" style="359" bestFit="1" customWidth="1"/>
    <col min="4359" max="4359" width="17.140625" style="359" customWidth="1"/>
    <col min="4360" max="4360" width="21.85546875" style="359" bestFit="1" customWidth="1"/>
    <col min="4361" max="4361" width="17.140625" style="359" bestFit="1" customWidth="1"/>
    <col min="4362" max="4362" width="18.140625" style="359" bestFit="1" customWidth="1"/>
    <col min="4363" max="4363" width="26.42578125" style="359" customWidth="1"/>
    <col min="4364" max="4608" width="9.140625" style="359"/>
    <col min="4609" max="4609" width="8.7109375" style="359" bestFit="1" customWidth="1"/>
    <col min="4610" max="4610" width="13.28515625" style="359" customWidth="1"/>
    <col min="4611" max="4611" width="16.140625" style="359" bestFit="1" customWidth="1"/>
    <col min="4612" max="4612" width="23.5703125" style="359" customWidth="1"/>
    <col min="4613" max="4613" width="17.28515625" style="359" customWidth="1"/>
    <col min="4614" max="4614" width="20.5703125" style="359" bestFit="1" customWidth="1"/>
    <col min="4615" max="4615" width="17.140625" style="359" customWidth="1"/>
    <col min="4616" max="4616" width="21.85546875" style="359" bestFit="1" customWidth="1"/>
    <col min="4617" max="4617" width="17.140625" style="359" bestFit="1" customWidth="1"/>
    <col min="4618" max="4618" width="18.140625" style="359" bestFit="1" customWidth="1"/>
    <col min="4619" max="4619" width="26.42578125" style="359" customWidth="1"/>
    <col min="4620" max="4864" width="9.140625" style="359"/>
    <col min="4865" max="4865" width="8.7109375" style="359" bestFit="1" customWidth="1"/>
    <col min="4866" max="4866" width="13.28515625" style="359" customWidth="1"/>
    <col min="4867" max="4867" width="16.140625" style="359" bestFit="1" customWidth="1"/>
    <col min="4868" max="4868" width="23.5703125" style="359" customWidth="1"/>
    <col min="4869" max="4869" width="17.28515625" style="359" customWidth="1"/>
    <col min="4870" max="4870" width="20.5703125" style="359" bestFit="1" customWidth="1"/>
    <col min="4871" max="4871" width="17.140625" style="359" customWidth="1"/>
    <col min="4872" max="4872" width="21.85546875" style="359" bestFit="1" customWidth="1"/>
    <col min="4873" max="4873" width="17.140625" style="359" bestFit="1" customWidth="1"/>
    <col min="4874" max="4874" width="18.140625" style="359" bestFit="1" customWidth="1"/>
    <col min="4875" max="4875" width="26.42578125" style="359" customWidth="1"/>
    <col min="4876" max="5120" width="9.140625" style="359"/>
    <col min="5121" max="5121" width="8.7109375" style="359" bestFit="1" customWidth="1"/>
    <col min="5122" max="5122" width="13.28515625" style="359" customWidth="1"/>
    <col min="5123" max="5123" width="16.140625" style="359" bestFit="1" customWidth="1"/>
    <col min="5124" max="5124" width="23.5703125" style="359" customWidth="1"/>
    <col min="5125" max="5125" width="17.28515625" style="359" customWidth="1"/>
    <col min="5126" max="5126" width="20.5703125" style="359" bestFit="1" customWidth="1"/>
    <col min="5127" max="5127" width="17.140625" style="359" customWidth="1"/>
    <col min="5128" max="5128" width="21.85546875" style="359" bestFit="1" customWidth="1"/>
    <col min="5129" max="5129" width="17.140625" style="359" bestFit="1" customWidth="1"/>
    <col min="5130" max="5130" width="18.140625" style="359" bestFit="1" customWidth="1"/>
    <col min="5131" max="5131" width="26.42578125" style="359" customWidth="1"/>
    <col min="5132" max="5376" width="9.140625" style="359"/>
    <col min="5377" max="5377" width="8.7109375" style="359" bestFit="1" customWidth="1"/>
    <col min="5378" max="5378" width="13.28515625" style="359" customWidth="1"/>
    <col min="5379" max="5379" width="16.140625" style="359" bestFit="1" customWidth="1"/>
    <col min="5380" max="5380" width="23.5703125" style="359" customWidth="1"/>
    <col min="5381" max="5381" width="17.28515625" style="359" customWidth="1"/>
    <col min="5382" max="5382" width="20.5703125" style="359" bestFit="1" customWidth="1"/>
    <col min="5383" max="5383" width="17.140625" style="359" customWidth="1"/>
    <col min="5384" max="5384" width="21.85546875" style="359" bestFit="1" customWidth="1"/>
    <col min="5385" max="5385" width="17.140625" style="359" bestFit="1" customWidth="1"/>
    <col min="5386" max="5386" width="18.140625" style="359" bestFit="1" customWidth="1"/>
    <col min="5387" max="5387" width="26.42578125" style="359" customWidth="1"/>
    <col min="5388" max="5632" width="9.140625" style="359"/>
    <col min="5633" max="5633" width="8.7109375" style="359" bestFit="1" customWidth="1"/>
    <col min="5634" max="5634" width="13.28515625" style="359" customWidth="1"/>
    <col min="5635" max="5635" width="16.140625" style="359" bestFit="1" customWidth="1"/>
    <col min="5636" max="5636" width="23.5703125" style="359" customWidth="1"/>
    <col min="5637" max="5637" width="17.28515625" style="359" customWidth="1"/>
    <col min="5638" max="5638" width="20.5703125" style="359" bestFit="1" customWidth="1"/>
    <col min="5639" max="5639" width="17.140625" style="359" customWidth="1"/>
    <col min="5640" max="5640" width="21.85546875" style="359" bestFit="1" customWidth="1"/>
    <col min="5641" max="5641" width="17.140625" style="359" bestFit="1" customWidth="1"/>
    <col min="5642" max="5642" width="18.140625" style="359" bestFit="1" customWidth="1"/>
    <col min="5643" max="5643" width="26.42578125" style="359" customWidth="1"/>
    <col min="5644" max="5888" width="9.140625" style="359"/>
    <col min="5889" max="5889" width="8.7109375" style="359" bestFit="1" customWidth="1"/>
    <col min="5890" max="5890" width="13.28515625" style="359" customWidth="1"/>
    <col min="5891" max="5891" width="16.140625" style="359" bestFit="1" customWidth="1"/>
    <col min="5892" max="5892" width="23.5703125" style="359" customWidth="1"/>
    <col min="5893" max="5893" width="17.28515625" style="359" customWidth="1"/>
    <col min="5894" max="5894" width="20.5703125" style="359" bestFit="1" customWidth="1"/>
    <col min="5895" max="5895" width="17.140625" style="359" customWidth="1"/>
    <col min="5896" max="5896" width="21.85546875" style="359" bestFit="1" customWidth="1"/>
    <col min="5897" max="5897" width="17.140625" style="359" bestFit="1" customWidth="1"/>
    <col min="5898" max="5898" width="18.140625" style="359" bestFit="1" customWidth="1"/>
    <col min="5899" max="5899" width="26.42578125" style="359" customWidth="1"/>
    <col min="5900" max="6144" width="9.140625" style="359"/>
    <col min="6145" max="6145" width="8.7109375" style="359" bestFit="1" customWidth="1"/>
    <col min="6146" max="6146" width="13.28515625" style="359" customWidth="1"/>
    <col min="6147" max="6147" width="16.140625" style="359" bestFit="1" customWidth="1"/>
    <col min="6148" max="6148" width="23.5703125" style="359" customWidth="1"/>
    <col min="6149" max="6149" width="17.28515625" style="359" customWidth="1"/>
    <col min="6150" max="6150" width="20.5703125" style="359" bestFit="1" customWidth="1"/>
    <col min="6151" max="6151" width="17.140625" style="359" customWidth="1"/>
    <col min="6152" max="6152" width="21.85546875" style="359" bestFit="1" customWidth="1"/>
    <col min="6153" max="6153" width="17.140625" style="359" bestFit="1" customWidth="1"/>
    <col min="6154" max="6154" width="18.140625" style="359" bestFit="1" customWidth="1"/>
    <col min="6155" max="6155" width="26.42578125" style="359" customWidth="1"/>
    <col min="6156" max="6400" width="9.140625" style="359"/>
    <col min="6401" max="6401" width="8.7109375" style="359" bestFit="1" customWidth="1"/>
    <col min="6402" max="6402" width="13.28515625" style="359" customWidth="1"/>
    <col min="6403" max="6403" width="16.140625" style="359" bestFit="1" customWidth="1"/>
    <col min="6404" max="6404" width="23.5703125" style="359" customWidth="1"/>
    <col min="6405" max="6405" width="17.28515625" style="359" customWidth="1"/>
    <col min="6406" max="6406" width="20.5703125" style="359" bestFit="1" customWidth="1"/>
    <col min="6407" max="6407" width="17.140625" style="359" customWidth="1"/>
    <col min="6408" max="6408" width="21.85546875" style="359" bestFit="1" customWidth="1"/>
    <col min="6409" max="6409" width="17.140625" style="359" bestFit="1" customWidth="1"/>
    <col min="6410" max="6410" width="18.140625" style="359" bestFit="1" customWidth="1"/>
    <col min="6411" max="6411" width="26.42578125" style="359" customWidth="1"/>
    <col min="6412" max="6656" width="9.140625" style="359"/>
    <col min="6657" max="6657" width="8.7109375" style="359" bestFit="1" customWidth="1"/>
    <col min="6658" max="6658" width="13.28515625" style="359" customWidth="1"/>
    <col min="6659" max="6659" width="16.140625" style="359" bestFit="1" customWidth="1"/>
    <col min="6660" max="6660" width="23.5703125" style="359" customWidth="1"/>
    <col min="6661" max="6661" width="17.28515625" style="359" customWidth="1"/>
    <col min="6662" max="6662" width="20.5703125" style="359" bestFit="1" customWidth="1"/>
    <col min="6663" max="6663" width="17.140625" style="359" customWidth="1"/>
    <col min="6664" max="6664" width="21.85546875" style="359" bestFit="1" customWidth="1"/>
    <col min="6665" max="6665" width="17.140625" style="359" bestFit="1" customWidth="1"/>
    <col min="6666" max="6666" width="18.140625" style="359" bestFit="1" customWidth="1"/>
    <col min="6667" max="6667" width="26.42578125" style="359" customWidth="1"/>
    <col min="6668" max="6912" width="9.140625" style="359"/>
    <col min="6913" max="6913" width="8.7109375" style="359" bestFit="1" customWidth="1"/>
    <col min="6914" max="6914" width="13.28515625" style="359" customWidth="1"/>
    <col min="6915" max="6915" width="16.140625" style="359" bestFit="1" customWidth="1"/>
    <col min="6916" max="6916" width="23.5703125" style="359" customWidth="1"/>
    <col min="6917" max="6917" width="17.28515625" style="359" customWidth="1"/>
    <col min="6918" max="6918" width="20.5703125" style="359" bestFit="1" customWidth="1"/>
    <col min="6919" max="6919" width="17.140625" style="359" customWidth="1"/>
    <col min="6920" max="6920" width="21.85546875" style="359" bestFit="1" customWidth="1"/>
    <col min="6921" max="6921" width="17.140625" style="359" bestFit="1" customWidth="1"/>
    <col min="6922" max="6922" width="18.140625" style="359" bestFit="1" customWidth="1"/>
    <col min="6923" max="6923" width="26.42578125" style="359" customWidth="1"/>
    <col min="6924" max="7168" width="9.140625" style="359"/>
    <col min="7169" max="7169" width="8.7109375" style="359" bestFit="1" customWidth="1"/>
    <col min="7170" max="7170" width="13.28515625" style="359" customWidth="1"/>
    <col min="7171" max="7171" width="16.140625" style="359" bestFit="1" customWidth="1"/>
    <col min="7172" max="7172" width="23.5703125" style="359" customWidth="1"/>
    <col min="7173" max="7173" width="17.28515625" style="359" customWidth="1"/>
    <col min="7174" max="7174" width="20.5703125" style="359" bestFit="1" customWidth="1"/>
    <col min="7175" max="7175" width="17.140625" style="359" customWidth="1"/>
    <col min="7176" max="7176" width="21.85546875" style="359" bestFit="1" customWidth="1"/>
    <col min="7177" max="7177" width="17.140625" style="359" bestFit="1" customWidth="1"/>
    <col min="7178" max="7178" width="18.140625" style="359" bestFit="1" customWidth="1"/>
    <col min="7179" max="7179" width="26.42578125" style="359" customWidth="1"/>
    <col min="7180" max="7424" width="9.140625" style="359"/>
    <col min="7425" max="7425" width="8.7109375" style="359" bestFit="1" customWidth="1"/>
    <col min="7426" max="7426" width="13.28515625" style="359" customWidth="1"/>
    <col min="7427" max="7427" width="16.140625" style="359" bestFit="1" customWidth="1"/>
    <col min="7428" max="7428" width="23.5703125" style="359" customWidth="1"/>
    <col min="7429" max="7429" width="17.28515625" style="359" customWidth="1"/>
    <col min="7430" max="7430" width="20.5703125" style="359" bestFit="1" customWidth="1"/>
    <col min="7431" max="7431" width="17.140625" style="359" customWidth="1"/>
    <col min="7432" max="7432" width="21.85546875" style="359" bestFit="1" customWidth="1"/>
    <col min="7433" max="7433" width="17.140625" style="359" bestFit="1" customWidth="1"/>
    <col min="7434" max="7434" width="18.140625" style="359" bestFit="1" customWidth="1"/>
    <col min="7435" max="7435" width="26.42578125" style="359" customWidth="1"/>
    <col min="7436" max="7680" width="9.140625" style="359"/>
    <col min="7681" max="7681" width="8.7109375" style="359" bestFit="1" customWidth="1"/>
    <col min="7682" max="7682" width="13.28515625" style="359" customWidth="1"/>
    <col min="7683" max="7683" width="16.140625" style="359" bestFit="1" customWidth="1"/>
    <col min="7684" max="7684" width="23.5703125" style="359" customWidth="1"/>
    <col min="7685" max="7685" width="17.28515625" style="359" customWidth="1"/>
    <col min="7686" max="7686" width="20.5703125" style="359" bestFit="1" customWidth="1"/>
    <col min="7687" max="7687" width="17.140625" style="359" customWidth="1"/>
    <col min="7688" max="7688" width="21.85546875" style="359" bestFit="1" customWidth="1"/>
    <col min="7689" max="7689" width="17.140625" style="359" bestFit="1" customWidth="1"/>
    <col min="7690" max="7690" width="18.140625" style="359" bestFit="1" customWidth="1"/>
    <col min="7691" max="7691" width="26.42578125" style="359" customWidth="1"/>
    <col min="7692" max="7936" width="9.140625" style="359"/>
    <col min="7937" max="7937" width="8.7109375" style="359" bestFit="1" customWidth="1"/>
    <col min="7938" max="7938" width="13.28515625" style="359" customWidth="1"/>
    <col min="7939" max="7939" width="16.140625" style="359" bestFit="1" customWidth="1"/>
    <col min="7940" max="7940" width="23.5703125" style="359" customWidth="1"/>
    <col min="7941" max="7941" width="17.28515625" style="359" customWidth="1"/>
    <col min="7942" max="7942" width="20.5703125" style="359" bestFit="1" customWidth="1"/>
    <col min="7943" max="7943" width="17.140625" style="359" customWidth="1"/>
    <col min="7944" max="7944" width="21.85546875" style="359" bestFit="1" customWidth="1"/>
    <col min="7945" max="7945" width="17.140625" style="359" bestFit="1" customWidth="1"/>
    <col min="7946" max="7946" width="18.140625" style="359" bestFit="1" customWidth="1"/>
    <col min="7947" max="7947" width="26.42578125" style="359" customWidth="1"/>
    <col min="7948" max="8192" width="9.140625" style="359"/>
    <col min="8193" max="8193" width="8.7109375" style="359" bestFit="1" customWidth="1"/>
    <col min="8194" max="8194" width="13.28515625" style="359" customWidth="1"/>
    <col min="8195" max="8195" width="16.140625" style="359" bestFit="1" customWidth="1"/>
    <col min="8196" max="8196" width="23.5703125" style="359" customWidth="1"/>
    <col min="8197" max="8197" width="17.28515625" style="359" customWidth="1"/>
    <col min="8198" max="8198" width="20.5703125" style="359" bestFit="1" customWidth="1"/>
    <col min="8199" max="8199" width="17.140625" style="359" customWidth="1"/>
    <col min="8200" max="8200" width="21.85546875" style="359" bestFit="1" customWidth="1"/>
    <col min="8201" max="8201" width="17.140625" style="359" bestFit="1" customWidth="1"/>
    <col min="8202" max="8202" width="18.140625" style="359" bestFit="1" customWidth="1"/>
    <col min="8203" max="8203" width="26.42578125" style="359" customWidth="1"/>
    <col min="8204" max="8448" width="9.140625" style="359"/>
    <col min="8449" max="8449" width="8.7109375" style="359" bestFit="1" customWidth="1"/>
    <col min="8450" max="8450" width="13.28515625" style="359" customWidth="1"/>
    <col min="8451" max="8451" width="16.140625" style="359" bestFit="1" customWidth="1"/>
    <col min="8452" max="8452" width="23.5703125" style="359" customWidth="1"/>
    <col min="8453" max="8453" width="17.28515625" style="359" customWidth="1"/>
    <col min="8454" max="8454" width="20.5703125" style="359" bestFit="1" customWidth="1"/>
    <col min="8455" max="8455" width="17.140625" style="359" customWidth="1"/>
    <col min="8456" max="8456" width="21.85546875" style="359" bestFit="1" customWidth="1"/>
    <col min="8457" max="8457" width="17.140625" style="359" bestFit="1" customWidth="1"/>
    <col min="8458" max="8458" width="18.140625" style="359" bestFit="1" customWidth="1"/>
    <col min="8459" max="8459" width="26.42578125" style="359" customWidth="1"/>
    <col min="8460" max="8704" width="9.140625" style="359"/>
    <col min="8705" max="8705" width="8.7109375" style="359" bestFit="1" customWidth="1"/>
    <col min="8706" max="8706" width="13.28515625" style="359" customWidth="1"/>
    <col min="8707" max="8707" width="16.140625" style="359" bestFit="1" customWidth="1"/>
    <col min="8708" max="8708" width="23.5703125" style="359" customWidth="1"/>
    <col min="8709" max="8709" width="17.28515625" style="359" customWidth="1"/>
    <col min="8710" max="8710" width="20.5703125" style="359" bestFit="1" customWidth="1"/>
    <col min="8711" max="8711" width="17.140625" style="359" customWidth="1"/>
    <col min="8712" max="8712" width="21.85546875" style="359" bestFit="1" customWidth="1"/>
    <col min="8713" max="8713" width="17.140625" style="359" bestFit="1" customWidth="1"/>
    <col min="8714" max="8714" width="18.140625" style="359" bestFit="1" customWidth="1"/>
    <col min="8715" max="8715" width="26.42578125" style="359" customWidth="1"/>
    <col min="8716" max="8960" width="9.140625" style="359"/>
    <col min="8961" max="8961" width="8.7109375" style="359" bestFit="1" customWidth="1"/>
    <col min="8962" max="8962" width="13.28515625" style="359" customWidth="1"/>
    <col min="8963" max="8963" width="16.140625" style="359" bestFit="1" customWidth="1"/>
    <col min="8964" max="8964" width="23.5703125" style="359" customWidth="1"/>
    <col min="8965" max="8965" width="17.28515625" style="359" customWidth="1"/>
    <col min="8966" max="8966" width="20.5703125" style="359" bestFit="1" customWidth="1"/>
    <col min="8967" max="8967" width="17.140625" style="359" customWidth="1"/>
    <col min="8968" max="8968" width="21.85546875" style="359" bestFit="1" customWidth="1"/>
    <col min="8969" max="8969" width="17.140625" style="359" bestFit="1" customWidth="1"/>
    <col min="8970" max="8970" width="18.140625" style="359" bestFit="1" customWidth="1"/>
    <col min="8971" max="8971" width="26.42578125" style="359" customWidth="1"/>
    <col min="8972" max="9216" width="9.140625" style="359"/>
    <col min="9217" max="9217" width="8.7109375" style="359" bestFit="1" customWidth="1"/>
    <col min="9218" max="9218" width="13.28515625" style="359" customWidth="1"/>
    <col min="9219" max="9219" width="16.140625" style="359" bestFit="1" customWidth="1"/>
    <col min="9220" max="9220" width="23.5703125" style="359" customWidth="1"/>
    <col min="9221" max="9221" width="17.28515625" style="359" customWidth="1"/>
    <col min="9222" max="9222" width="20.5703125" style="359" bestFit="1" customWidth="1"/>
    <col min="9223" max="9223" width="17.140625" style="359" customWidth="1"/>
    <col min="9224" max="9224" width="21.85546875" style="359" bestFit="1" customWidth="1"/>
    <col min="9225" max="9225" width="17.140625" style="359" bestFit="1" customWidth="1"/>
    <col min="9226" max="9226" width="18.140625" style="359" bestFit="1" customWidth="1"/>
    <col min="9227" max="9227" width="26.42578125" style="359" customWidth="1"/>
    <col min="9228" max="9472" width="9.140625" style="359"/>
    <col min="9473" max="9473" width="8.7109375" style="359" bestFit="1" customWidth="1"/>
    <col min="9474" max="9474" width="13.28515625" style="359" customWidth="1"/>
    <col min="9475" max="9475" width="16.140625" style="359" bestFit="1" customWidth="1"/>
    <col min="9476" max="9476" width="23.5703125" style="359" customWidth="1"/>
    <col min="9477" max="9477" width="17.28515625" style="359" customWidth="1"/>
    <col min="9478" max="9478" width="20.5703125" style="359" bestFit="1" customWidth="1"/>
    <col min="9479" max="9479" width="17.140625" style="359" customWidth="1"/>
    <col min="9480" max="9480" width="21.85546875" style="359" bestFit="1" customWidth="1"/>
    <col min="9481" max="9481" width="17.140625" style="359" bestFit="1" customWidth="1"/>
    <col min="9482" max="9482" width="18.140625" style="359" bestFit="1" customWidth="1"/>
    <col min="9483" max="9483" width="26.42578125" style="359" customWidth="1"/>
    <col min="9484" max="9728" width="9.140625" style="359"/>
    <col min="9729" max="9729" width="8.7109375" style="359" bestFit="1" customWidth="1"/>
    <col min="9730" max="9730" width="13.28515625" style="359" customWidth="1"/>
    <col min="9731" max="9731" width="16.140625" style="359" bestFit="1" customWidth="1"/>
    <col min="9732" max="9732" width="23.5703125" style="359" customWidth="1"/>
    <col min="9733" max="9733" width="17.28515625" style="359" customWidth="1"/>
    <col min="9734" max="9734" width="20.5703125" style="359" bestFit="1" customWidth="1"/>
    <col min="9735" max="9735" width="17.140625" style="359" customWidth="1"/>
    <col min="9736" max="9736" width="21.85546875" style="359" bestFit="1" customWidth="1"/>
    <col min="9737" max="9737" width="17.140625" style="359" bestFit="1" customWidth="1"/>
    <col min="9738" max="9738" width="18.140625" style="359" bestFit="1" customWidth="1"/>
    <col min="9739" max="9739" width="26.42578125" style="359" customWidth="1"/>
    <col min="9740" max="9984" width="9.140625" style="359"/>
    <col min="9985" max="9985" width="8.7109375" style="359" bestFit="1" customWidth="1"/>
    <col min="9986" max="9986" width="13.28515625" style="359" customWidth="1"/>
    <col min="9987" max="9987" width="16.140625" style="359" bestFit="1" customWidth="1"/>
    <col min="9988" max="9988" width="23.5703125" style="359" customWidth="1"/>
    <col min="9989" max="9989" width="17.28515625" style="359" customWidth="1"/>
    <col min="9990" max="9990" width="20.5703125" style="359" bestFit="1" customWidth="1"/>
    <col min="9991" max="9991" width="17.140625" style="359" customWidth="1"/>
    <col min="9992" max="9992" width="21.85546875" style="359" bestFit="1" customWidth="1"/>
    <col min="9993" max="9993" width="17.140625" style="359" bestFit="1" customWidth="1"/>
    <col min="9994" max="9994" width="18.140625" style="359" bestFit="1" customWidth="1"/>
    <col min="9995" max="9995" width="26.42578125" style="359" customWidth="1"/>
    <col min="9996" max="10240" width="9.140625" style="359"/>
    <col min="10241" max="10241" width="8.7109375" style="359" bestFit="1" customWidth="1"/>
    <col min="10242" max="10242" width="13.28515625" style="359" customWidth="1"/>
    <col min="10243" max="10243" width="16.140625" style="359" bestFit="1" customWidth="1"/>
    <col min="10244" max="10244" width="23.5703125" style="359" customWidth="1"/>
    <col min="10245" max="10245" width="17.28515625" style="359" customWidth="1"/>
    <col min="10246" max="10246" width="20.5703125" style="359" bestFit="1" customWidth="1"/>
    <col min="10247" max="10247" width="17.140625" style="359" customWidth="1"/>
    <col min="10248" max="10248" width="21.85546875" style="359" bestFit="1" customWidth="1"/>
    <col min="10249" max="10249" width="17.140625" style="359" bestFit="1" customWidth="1"/>
    <col min="10250" max="10250" width="18.140625" style="359" bestFit="1" customWidth="1"/>
    <col min="10251" max="10251" width="26.42578125" style="359" customWidth="1"/>
    <col min="10252" max="10496" width="9.140625" style="359"/>
    <col min="10497" max="10497" width="8.7109375" style="359" bestFit="1" customWidth="1"/>
    <col min="10498" max="10498" width="13.28515625" style="359" customWidth="1"/>
    <col min="10499" max="10499" width="16.140625" style="359" bestFit="1" customWidth="1"/>
    <col min="10500" max="10500" width="23.5703125" style="359" customWidth="1"/>
    <col min="10501" max="10501" width="17.28515625" style="359" customWidth="1"/>
    <col min="10502" max="10502" width="20.5703125" style="359" bestFit="1" customWidth="1"/>
    <col min="10503" max="10503" width="17.140625" style="359" customWidth="1"/>
    <col min="10504" max="10504" width="21.85546875" style="359" bestFit="1" customWidth="1"/>
    <col min="10505" max="10505" width="17.140625" style="359" bestFit="1" customWidth="1"/>
    <col min="10506" max="10506" width="18.140625" style="359" bestFit="1" customWidth="1"/>
    <col min="10507" max="10507" width="26.42578125" style="359" customWidth="1"/>
    <col min="10508" max="10752" width="9.140625" style="359"/>
    <col min="10753" max="10753" width="8.7109375" style="359" bestFit="1" customWidth="1"/>
    <col min="10754" max="10754" width="13.28515625" style="359" customWidth="1"/>
    <col min="10755" max="10755" width="16.140625" style="359" bestFit="1" customWidth="1"/>
    <col min="10756" max="10756" width="23.5703125" style="359" customWidth="1"/>
    <col min="10757" max="10757" width="17.28515625" style="359" customWidth="1"/>
    <col min="10758" max="10758" width="20.5703125" style="359" bestFit="1" customWidth="1"/>
    <col min="10759" max="10759" width="17.140625" style="359" customWidth="1"/>
    <col min="10760" max="10760" width="21.85546875" style="359" bestFit="1" customWidth="1"/>
    <col min="10761" max="10761" width="17.140625" style="359" bestFit="1" customWidth="1"/>
    <col min="10762" max="10762" width="18.140625" style="359" bestFit="1" customWidth="1"/>
    <col min="10763" max="10763" width="26.42578125" style="359" customWidth="1"/>
    <col min="10764" max="11008" width="9.140625" style="359"/>
    <col min="11009" max="11009" width="8.7109375" style="359" bestFit="1" customWidth="1"/>
    <col min="11010" max="11010" width="13.28515625" style="359" customWidth="1"/>
    <col min="11011" max="11011" width="16.140625" style="359" bestFit="1" customWidth="1"/>
    <col min="11012" max="11012" width="23.5703125" style="359" customWidth="1"/>
    <col min="11013" max="11013" width="17.28515625" style="359" customWidth="1"/>
    <col min="11014" max="11014" width="20.5703125" style="359" bestFit="1" customWidth="1"/>
    <col min="11015" max="11015" width="17.140625" style="359" customWidth="1"/>
    <col min="11016" max="11016" width="21.85546875" style="359" bestFit="1" customWidth="1"/>
    <col min="11017" max="11017" width="17.140625" style="359" bestFit="1" customWidth="1"/>
    <col min="11018" max="11018" width="18.140625" style="359" bestFit="1" customWidth="1"/>
    <col min="11019" max="11019" width="26.42578125" style="359" customWidth="1"/>
    <col min="11020" max="11264" width="9.140625" style="359"/>
    <col min="11265" max="11265" width="8.7109375" style="359" bestFit="1" customWidth="1"/>
    <col min="11266" max="11266" width="13.28515625" style="359" customWidth="1"/>
    <col min="11267" max="11267" width="16.140625" style="359" bestFit="1" customWidth="1"/>
    <col min="11268" max="11268" width="23.5703125" style="359" customWidth="1"/>
    <col min="11269" max="11269" width="17.28515625" style="359" customWidth="1"/>
    <col min="11270" max="11270" width="20.5703125" style="359" bestFit="1" customWidth="1"/>
    <col min="11271" max="11271" width="17.140625" style="359" customWidth="1"/>
    <col min="11272" max="11272" width="21.85546875" style="359" bestFit="1" customWidth="1"/>
    <col min="11273" max="11273" width="17.140625" style="359" bestFit="1" customWidth="1"/>
    <col min="11274" max="11274" width="18.140625" style="359" bestFit="1" customWidth="1"/>
    <col min="11275" max="11275" width="26.42578125" style="359" customWidth="1"/>
    <col min="11276" max="11520" width="9.140625" style="359"/>
    <col min="11521" max="11521" width="8.7109375" style="359" bestFit="1" customWidth="1"/>
    <col min="11522" max="11522" width="13.28515625" style="359" customWidth="1"/>
    <col min="11523" max="11523" width="16.140625" style="359" bestFit="1" customWidth="1"/>
    <col min="11524" max="11524" width="23.5703125" style="359" customWidth="1"/>
    <col min="11525" max="11525" width="17.28515625" style="359" customWidth="1"/>
    <col min="11526" max="11526" width="20.5703125" style="359" bestFit="1" customWidth="1"/>
    <col min="11527" max="11527" width="17.140625" style="359" customWidth="1"/>
    <col min="11528" max="11528" width="21.85546875" style="359" bestFit="1" customWidth="1"/>
    <col min="11529" max="11529" width="17.140625" style="359" bestFit="1" customWidth="1"/>
    <col min="11530" max="11530" width="18.140625" style="359" bestFit="1" customWidth="1"/>
    <col min="11531" max="11531" width="26.42578125" style="359" customWidth="1"/>
    <col min="11532" max="11776" width="9.140625" style="359"/>
    <col min="11777" max="11777" width="8.7109375" style="359" bestFit="1" customWidth="1"/>
    <col min="11778" max="11778" width="13.28515625" style="359" customWidth="1"/>
    <col min="11779" max="11779" width="16.140625" style="359" bestFit="1" customWidth="1"/>
    <col min="11780" max="11780" width="23.5703125" style="359" customWidth="1"/>
    <col min="11781" max="11781" width="17.28515625" style="359" customWidth="1"/>
    <col min="11782" max="11782" width="20.5703125" style="359" bestFit="1" customWidth="1"/>
    <col min="11783" max="11783" width="17.140625" style="359" customWidth="1"/>
    <col min="11784" max="11784" width="21.85546875" style="359" bestFit="1" customWidth="1"/>
    <col min="11785" max="11785" width="17.140625" style="359" bestFit="1" customWidth="1"/>
    <col min="11786" max="11786" width="18.140625" style="359" bestFit="1" customWidth="1"/>
    <col min="11787" max="11787" width="26.42578125" style="359" customWidth="1"/>
    <col min="11788" max="12032" width="9.140625" style="359"/>
    <col min="12033" max="12033" width="8.7109375" style="359" bestFit="1" customWidth="1"/>
    <col min="12034" max="12034" width="13.28515625" style="359" customWidth="1"/>
    <col min="12035" max="12035" width="16.140625" style="359" bestFit="1" customWidth="1"/>
    <col min="12036" max="12036" width="23.5703125" style="359" customWidth="1"/>
    <col min="12037" max="12037" width="17.28515625" style="359" customWidth="1"/>
    <col min="12038" max="12038" width="20.5703125" style="359" bestFit="1" customWidth="1"/>
    <col min="12039" max="12039" width="17.140625" style="359" customWidth="1"/>
    <col min="12040" max="12040" width="21.85546875" style="359" bestFit="1" customWidth="1"/>
    <col min="12041" max="12041" width="17.140625" style="359" bestFit="1" customWidth="1"/>
    <col min="12042" max="12042" width="18.140625" style="359" bestFit="1" customWidth="1"/>
    <col min="12043" max="12043" width="26.42578125" style="359" customWidth="1"/>
    <col min="12044" max="12288" width="9.140625" style="359"/>
    <col min="12289" max="12289" width="8.7109375" style="359" bestFit="1" customWidth="1"/>
    <col min="12290" max="12290" width="13.28515625" style="359" customWidth="1"/>
    <col min="12291" max="12291" width="16.140625" style="359" bestFit="1" customWidth="1"/>
    <col min="12292" max="12292" width="23.5703125" style="359" customWidth="1"/>
    <col min="12293" max="12293" width="17.28515625" style="359" customWidth="1"/>
    <col min="12294" max="12294" width="20.5703125" style="359" bestFit="1" customWidth="1"/>
    <col min="12295" max="12295" width="17.140625" style="359" customWidth="1"/>
    <col min="12296" max="12296" width="21.85546875" style="359" bestFit="1" customWidth="1"/>
    <col min="12297" max="12297" width="17.140625" style="359" bestFit="1" customWidth="1"/>
    <col min="12298" max="12298" width="18.140625" style="359" bestFit="1" customWidth="1"/>
    <col min="12299" max="12299" width="26.42578125" style="359" customWidth="1"/>
    <col min="12300" max="12544" width="9.140625" style="359"/>
    <col min="12545" max="12545" width="8.7109375" style="359" bestFit="1" customWidth="1"/>
    <col min="12546" max="12546" width="13.28515625" style="359" customWidth="1"/>
    <col min="12547" max="12547" width="16.140625" style="359" bestFit="1" customWidth="1"/>
    <col min="12548" max="12548" width="23.5703125" style="359" customWidth="1"/>
    <col min="12549" max="12549" width="17.28515625" style="359" customWidth="1"/>
    <col min="12550" max="12550" width="20.5703125" style="359" bestFit="1" customWidth="1"/>
    <col min="12551" max="12551" width="17.140625" style="359" customWidth="1"/>
    <col min="12552" max="12552" width="21.85546875" style="359" bestFit="1" customWidth="1"/>
    <col min="12553" max="12553" width="17.140625" style="359" bestFit="1" customWidth="1"/>
    <col min="12554" max="12554" width="18.140625" style="359" bestFit="1" customWidth="1"/>
    <col min="12555" max="12555" width="26.42578125" style="359" customWidth="1"/>
    <col min="12556" max="12800" width="9.140625" style="359"/>
    <col min="12801" max="12801" width="8.7109375" style="359" bestFit="1" customWidth="1"/>
    <col min="12802" max="12802" width="13.28515625" style="359" customWidth="1"/>
    <col min="12803" max="12803" width="16.140625" style="359" bestFit="1" customWidth="1"/>
    <col min="12804" max="12804" width="23.5703125" style="359" customWidth="1"/>
    <col min="12805" max="12805" width="17.28515625" style="359" customWidth="1"/>
    <col min="12806" max="12806" width="20.5703125" style="359" bestFit="1" customWidth="1"/>
    <col min="12807" max="12807" width="17.140625" style="359" customWidth="1"/>
    <col min="12808" max="12808" width="21.85546875" style="359" bestFit="1" customWidth="1"/>
    <col min="12809" max="12809" width="17.140625" style="359" bestFit="1" customWidth="1"/>
    <col min="12810" max="12810" width="18.140625" style="359" bestFit="1" customWidth="1"/>
    <col min="12811" max="12811" width="26.42578125" style="359" customWidth="1"/>
    <col min="12812" max="13056" width="9.140625" style="359"/>
    <col min="13057" max="13057" width="8.7109375" style="359" bestFit="1" customWidth="1"/>
    <col min="13058" max="13058" width="13.28515625" style="359" customWidth="1"/>
    <col min="13059" max="13059" width="16.140625" style="359" bestFit="1" customWidth="1"/>
    <col min="13060" max="13060" width="23.5703125" style="359" customWidth="1"/>
    <col min="13061" max="13061" width="17.28515625" style="359" customWidth="1"/>
    <col min="13062" max="13062" width="20.5703125" style="359" bestFit="1" customWidth="1"/>
    <col min="13063" max="13063" width="17.140625" style="359" customWidth="1"/>
    <col min="13064" max="13064" width="21.85546875" style="359" bestFit="1" customWidth="1"/>
    <col min="13065" max="13065" width="17.140625" style="359" bestFit="1" customWidth="1"/>
    <col min="13066" max="13066" width="18.140625" style="359" bestFit="1" customWidth="1"/>
    <col min="13067" max="13067" width="26.42578125" style="359" customWidth="1"/>
    <col min="13068" max="13312" width="9.140625" style="359"/>
    <col min="13313" max="13313" width="8.7109375" style="359" bestFit="1" customWidth="1"/>
    <col min="13314" max="13314" width="13.28515625" style="359" customWidth="1"/>
    <col min="13315" max="13315" width="16.140625" style="359" bestFit="1" customWidth="1"/>
    <col min="13316" max="13316" width="23.5703125" style="359" customWidth="1"/>
    <col min="13317" max="13317" width="17.28515625" style="359" customWidth="1"/>
    <col min="13318" max="13318" width="20.5703125" style="359" bestFit="1" customWidth="1"/>
    <col min="13319" max="13319" width="17.140625" style="359" customWidth="1"/>
    <col min="13320" max="13320" width="21.85546875" style="359" bestFit="1" customWidth="1"/>
    <col min="13321" max="13321" width="17.140625" style="359" bestFit="1" customWidth="1"/>
    <col min="13322" max="13322" width="18.140625" style="359" bestFit="1" customWidth="1"/>
    <col min="13323" max="13323" width="26.42578125" style="359" customWidth="1"/>
    <col min="13324" max="13568" width="9.140625" style="359"/>
    <col min="13569" max="13569" width="8.7109375" style="359" bestFit="1" customWidth="1"/>
    <col min="13570" max="13570" width="13.28515625" style="359" customWidth="1"/>
    <col min="13571" max="13571" width="16.140625" style="359" bestFit="1" customWidth="1"/>
    <col min="13572" max="13572" width="23.5703125" style="359" customWidth="1"/>
    <col min="13573" max="13573" width="17.28515625" style="359" customWidth="1"/>
    <col min="13574" max="13574" width="20.5703125" style="359" bestFit="1" customWidth="1"/>
    <col min="13575" max="13575" width="17.140625" style="359" customWidth="1"/>
    <col min="13576" max="13576" width="21.85546875" style="359" bestFit="1" customWidth="1"/>
    <col min="13577" max="13577" width="17.140625" style="359" bestFit="1" customWidth="1"/>
    <col min="13578" max="13578" width="18.140625" style="359" bestFit="1" customWidth="1"/>
    <col min="13579" max="13579" width="26.42578125" style="359" customWidth="1"/>
    <col min="13580" max="13824" width="9.140625" style="359"/>
    <col min="13825" max="13825" width="8.7109375" style="359" bestFit="1" customWidth="1"/>
    <col min="13826" max="13826" width="13.28515625" style="359" customWidth="1"/>
    <col min="13827" max="13827" width="16.140625" style="359" bestFit="1" customWidth="1"/>
    <col min="13828" max="13828" width="23.5703125" style="359" customWidth="1"/>
    <col min="13829" max="13829" width="17.28515625" style="359" customWidth="1"/>
    <col min="13830" max="13830" width="20.5703125" style="359" bestFit="1" customWidth="1"/>
    <col min="13831" max="13831" width="17.140625" style="359" customWidth="1"/>
    <col min="13832" max="13832" width="21.85546875" style="359" bestFit="1" customWidth="1"/>
    <col min="13833" max="13833" width="17.140625" style="359" bestFit="1" customWidth="1"/>
    <col min="13834" max="13834" width="18.140625" style="359" bestFit="1" customWidth="1"/>
    <col min="13835" max="13835" width="26.42578125" style="359" customWidth="1"/>
    <col min="13836" max="14080" width="9.140625" style="359"/>
    <col min="14081" max="14081" width="8.7109375" style="359" bestFit="1" customWidth="1"/>
    <col min="14082" max="14082" width="13.28515625" style="359" customWidth="1"/>
    <col min="14083" max="14083" width="16.140625" style="359" bestFit="1" customWidth="1"/>
    <col min="14084" max="14084" width="23.5703125" style="359" customWidth="1"/>
    <col min="14085" max="14085" width="17.28515625" style="359" customWidth="1"/>
    <col min="14086" max="14086" width="20.5703125" style="359" bestFit="1" customWidth="1"/>
    <col min="14087" max="14087" width="17.140625" style="359" customWidth="1"/>
    <col min="14088" max="14088" width="21.85546875" style="359" bestFit="1" customWidth="1"/>
    <col min="14089" max="14089" width="17.140625" style="359" bestFit="1" customWidth="1"/>
    <col min="14090" max="14090" width="18.140625" style="359" bestFit="1" customWidth="1"/>
    <col min="14091" max="14091" width="26.42578125" style="359" customWidth="1"/>
    <col min="14092" max="14336" width="9.140625" style="359"/>
    <col min="14337" max="14337" width="8.7109375" style="359" bestFit="1" customWidth="1"/>
    <col min="14338" max="14338" width="13.28515625" style="359" customWidth="1"/>
    <col min="14339" max="14339" width="16.140625" style="359" bestFit="1" customWidth="1"/>
    <col min="14340" max="14340" width="23.5703125" style="359" customWidth="1"/>
    <col min="14341" max="14341" width="17.28515625" style="359" customWidth="1"/>
    <col min="14342" max="14342" width="20.5703125" style="359" bestFit="1" customWidth="1"/>
    <col min="14343" max="14343" width="17.140625" style="359" customWidth="1"/>
    <col min="14344" max="14344" width="21.85546875" style="359" bestFit="1" customWidth="1"/>
    <col min="14345" max="14345" width="17.140625" style="359" bestFit="1" customWidth="1"/>
    <col min="14346" max="14346" width="18.140625" style="359" bestFit="1" customWidth="1"/>
    <col min="14347" max="14347" width="26.42578125" style="359" customWidth="1"/>
    <col min="14348" max="14592" width="9.140625" style="359"/>
    <col min="14593" max="14593" width="8.7109375" style="359" bestFit="1" customWidth="1"/>
    <col min="14594" max="14594" width="13.28515625" style="359" customWidth="1"/>
    <col min="14595" max="14595" width="16.140625" style="359" bestFit="1" customWidth="1"/>
    <col min="14596" max="14596" width="23.5703125" style="359" customWidth="1"/>
    <col min="14597" max="14597" width="17.28515625" style="359" customWidth="1"/>
    <col min="14598" max="14598" width="20.5703125" style="359" bestFit="1" customWidth="1"/>
    <col min="14599" max="14599" width="17.140625" style="359" customWidth="1"/>
    <col min="14600" max="14600" width="21.85546875" style="359" bestFit="1" customWidth="1"/>
    <col min="14601" max="14601" width="17.140625" style="359" bestFit="1" customWidth="1"/>
    <col min="14602" max="14602" width="18.140625" style="359" bestFit="1" customWidth="1"/>
    <col min="14603" max="14603" width="26.42578125" style="359" customWidth="1"/>
    <col min="14604" max="14848" width="9.140625" style="359"/>
    <col min="14849" max="14849" width="8.7109375" style="359" bestFit="1" customWidth="1"/>
    <col min="14850" max="14850" width="13.28515625" style="359" customWidth="1"/>
    <col min="14851" max="14851" width="16.140625" style="359" bestFit="1" customWidth="1"/>
    <col min="14852" max="14852" width="23.5703125" style="359" customWidth="1"/>
    <col min="14853" max="14853" width="17.28515625" style="359" customWidth="1"/>
    <col min="14854" max="14854" width="20.5703125" style="359" bestFit="1" customWidth="1"/>
    <col min="14855" max="14855" width="17.140625" style="359" customWidth="1"/>
    <col min="14856" max="14856" width="21.85546875" style="359" bestFit="1" customWidth="1"/>
    <col min="14857" max="14857" width="17.140625" style="359" bestFit="1" customWidth="1"/>
    <col min="14858" max="14858" width="18.140625" style="359" bestFit="1" customWidth="1"/>
    <col min="14859" max="14859" width="26.42578125" style="359" customWidth="1"/>
    <col min="14860" max="15104" width="9.140625" style="359"/>
    <col min="15105" max="15105" width="8.7109375" style="359" bestFit="1" customWidth="1"/>
    <col min="15106" max="15106" width="13.28515625" style="359" customWidth="1"/>
    <col min="15107" max="15107" width="16.140625" style="359" bestFit="1" customWidth="1"/>
    <col min="15108" max="15108" width="23.5703125" style="359" customWidth="1"/>
    <col min="15109" max="15109" width="17.28515625" style="359" customWidth="1"/>
    <col min="15110" max="15110" width="20.5703125" style="359" bestFit="1" customWidth="1"/>
    <col min="15111" max="15111" width="17.140625" style="359" customWidth="1"/>
    <col min="15112" max="15112" width="21.85546875" style="359" bestFit="1" customWidth="1"/>
    <col min="15113" max="15113" width="17.140625" style="359" bestFit="1" customWidth="1"/>
    <col min="15114" max="15114" width="18.140625" style="359" bestFit="1" customWidth="1"/>
    <col min="15115" max="15115" width="26.42578125" style="359" customWidth="1"/>
    <col min="15116" max="15360" width="9.140625" style="359"/>
    <col min="15361" max="15361" width="8.7109375" style="359" bestFit="1" customWidth="1"/>
    <col min="15362" max="15362" width="13.28515625" style="359" customWidth="1"/>
    <col min="15363" max="15363" width="16.140625" style="359" bestFit="1" customWidth="1"/>
    <col min="15364" max="15364" width="23.5703125" style="359" customWidth="1"/>
    <col min="15365" max="15365" width="17.28515625" style="359" customWidth="1"/>
    <col min="15366" max="15366" width="20.5703125" style="359" bestFit="1" customWidth="1"/>
    <col min="15367" max="15367" width="17.140625" style="359" customWidth="1"/>
    <col min="15368" max="15368" width="21.85546875" style="359" bestFit="1" customWidth="1"/>
    <col min="15369" max="15369" width="17.140625" style="359" bestFit="1" customWidth="1"/>
    <col min="15370" max="15370" width="18.140625" style="359" bestFit="1" customWidth="1"/>
    <col min="15371" max="15371" width="26.42578125" style="359" customWidth="1"/>
    <col min="15372" max="15616" width="9.140625" style="359"/>
    <col min="15617" max="15617" width="8.7109375" style="359" bestFit="1" customWidth="1"/>
    <col min="15618" max="15618" width="13.28515625" style="359" customWidth="1"/>
    <col min="15619" max="15619" width="16.140625" style="359" bestFit="1" customWidth="1"/>
    <col min="15620" max="15620" width="23.5703125" style="359" customWidth="1"/>
    <col min="15621" max="15621" width="17.28515625" style="359" customWidth="1"/>
    <col min="15622" max="15622" width="20.5703125" style="359" bestFit="1" customWidth="1"/>
    <col min="15623" max="15623" width="17.140625" style="359" customWidth="1"/>
    <col min="15624" max="15624" width="21.85546875" style="359" bestFit="1" customWidth="1"/>
    <col min="15625" max="15625" width="17.140625" style="359" bestFit="1" customWidth="1"/>
    <col min="15626" max="15626" width="18.140625" style="359" bestFit="1" customWidth="1"/>
    <col min="15627" max="15627" width="26.42578125" style="359" customWidth="1"/>
    <col min="15628" max="15872" width="9.140625" style="359"/>
    <col min="15873" max="15873" width="8.7109375" style="359" bestFit="1" customWidth="1"/>
    <col min="15874" max="15874" width="13.28515625" style="359" customWidth="1"/>
    <col min="15875" max="15875" width="16.140625" style="359" bestFit="1" customWidth="1"/>
    <col min="15876" max="15876" width="23.5703125" style="359" customWidth="1"/>
    <col min="15877" max="15877" width="17.28515625" style="359" customWidth="1"/>
    <col min="15878" max="15878" width="20.5703125" style="359" bestFit="1" customWidth="1"/>
    <col min="15879" max="15879" width="17.140625" style="359" customWidth="1"/>
    <col min="15880" max="15880" width="21.85546875" style="359" bestFit="1" customWidth="1"/>
    <col min="15881" max="15881" width="17.140625" style="359" bestFit="1" customWidth="1"/>
    <col min="15882" max="15882" width="18.140625" style="359" bestFit="1" customWidth="1"/>
    <col min="15883" max="15883" width="26.42578125" style="359" customWidth="1"/>
    <col min="15884" max="16128" width="9.140625" style="359"/>
    <col min="16129" max="16129" width="8.7109375" style="359" bestFit="1" customWidth="1"/>
    <col min="16130" max="16130" width="13.28515625" style="359" customWidth="1"/>
    <col min="16131" max="16131" width="16.140625" style="359" bestFit="1" customWidth="1"/>
    <col min="16132" max="16132" width="23.5703125" style="359" customWidth="1"/>
    <col min="16133" max="16133" width="17.28515625" style="359" customWidth="1"/>
    <col min="16134" max="16134" width="20.5703125" style="359" bestFit="1" customWidth="1"/>
    <col min="16135" max="16135" width="17.140625" style="359" customWidth="1"/>
    <col min="16136" max="16136" width="21.85546875" style="359" bestFit="1" customWidth="1"/>
    <col min="16137" max="16137" width="17.140625" style="359" bestFit="1" customWidth="1"/>
    <col min="16138" max="16138" width="18.140625" style="359" bestFit="1" customWidth="1"/>
    <col min="16139" max="16139" width="26.42578125" style="359" customWidth="1"/>
    <col min="16140" max="16384" width="9.140625" style="359"/>
  </cols>
  <sheetData>
    <row r="1" spans="13:13" s="396" customFormat="1" x14ac:dyDescent="0.2">
      <c r="M1" s="397"/>
    </row>
    <row r="2" spans="13:13" s="396" customFormat="1" x14ac:dyDescent="0.2">
      <c r="M2" s="397"/>
    </row>
    <row r="3" spans="13:13" s="396" customFormat="1" x14ac:dyDescent="0.2">
      <c r="M3" s="397"/>
    </row>
    <row r="4" spans="13:13" s="396" customFormat="1" x14ac:dyDescent="0.2">
      <c r="M4" s="397"/>
    </row>
    <row r="5" spans="13:13" s="396" customFormat="1" x14ac:dyDescent="0.2">
      <c r="M5" s="397"/>
    </row>
    <row r="6" spans="13:13" s="396" customFormat="1" x14ac:dyDescent="0.2">
      <c r="M6" s="397"/>
    </row>
    <row r="7" spans="13:13" s="396" customFormat="1" x14ac:dyDescent="0.2">
      <c r="M7" s="397"/>
    </row>
    <row r="8" spans="13:13" s="396" customFormat="1" x14ac:dyDescent="0.2">
      <c r="M8" s="397"/>
    </row>
    <row r="9" spans="13:13" s="396" customFormat="1" x14ac:dyDescent="0.2">
      <c r="M9" s="397"/>
    </row>
    <row r="10" spans="13:13" s="396" customFormat="1" x14ac:dyDescent="0.2">
      <c r="M10" s="397"/>
    </row>
    <row r="11" spans="13:13" s="396" customFormat="1" x14ac:dyDescent="0.2">
      <c r="M11" s="397"/>
    </row>
    <row r="12" spans="13:13" s="396" customFormat="1" x14ac:dyDescent="0.2">
      <c r="M12" s="397"/>
    </row>
    <row r="13" spans="13:13" s="396" customFormat="1" x14ac:dyDescent="0.2">
      <c r="M13" s="397"/>
    </row>
    <row r="14" spans="13:13" s="396" customFormat="1" x14ac:dyDescent="0.2">
      <c r="M14" s="397"/>
    </row>
    <row r="15" spans="13:13" s="396" customFormat="1" x14ac:dyDescent="0.2">
      <c r="M15" s="397"/>
    </row>
    <row r="16" spans="13:13" s="396" customFormat="1" x14ac:dyDescent="0.2">
      <c r="M16" s="397"/>
    </row>
    <row r="17" spans="13:13" s="396" customFormat="1" x14ac:dyDescent="0.2">
      <c r="M17" s="397"/>
    </row>
    <row r="18" spans="13:13" s="396" customFormat="1" x14ac:dyDescent="0.2">
      <c r="M18" s="397"/>
    </row>
    <row r="19" spans="13:13" s="396" customFormat="1" x14ac:dyDescent="0.2">
      <c r="M19" s="397"/>
    </row>
    <row r="20" spans="13:13" s="396" customFormat="1" x14ac:dyDescent="0.2">
      <c r="M20" s="397"/>
    </row>
    <row r="21" spans="13:13" s="396" customFormat="1" x14ac:dyDescent="0.2">
      <c r="M21" s="397"/>
    </row>
    <row r="22" spans="13:13" s="396" customFormat="1" x14ac:dyDescent="0.2">
      <c r="M22" s="397"/>
    </row>
    <row r="23" spans="13:13" s="396" customFormat="1" x14ac:dyDescent="0.2">
      <c r="M23" s="397"/>
    </row>
    <row r="24" spans="13:13" s="396" customFormat="1" x14ac:dyDescent="0.2">
      <c r="M24" s="397"/>
    </row>
    <row r="25" spans="13:13" s="396" customFormat="1" x14ac:dyDescent="0.2">
      <c r="M25" s="397"/>
    </row>
    <row r="26" spans="13:13" s="396" customFormat="1" x14ac:dyDescent="0.2">
      <c r="M26" s="397"/>
    </row>
    <row r="27" spans="13:13" s="396" customFormat="1" x14ac:dyDescent="0.2">
      <c r="M27" s="397"/>
    </row>
    <row r="28" spans="13:13" s="396" customFormat="1" x14ac:dyDescent="0.2">
      <c r="M28" s="397"/>
    </row>
    <row r="29" spans="13:13" s="396" customFormat="1" x14ac:dyDescent="0.2">
      <c r="M29" s="397"/>
    </row>
    <row r="30" spans="13:13" s="396" customFormat="1" x14ac:dyDescent="0.2">
      <c r="M30" s="397"/>
    </row>
    <row r="31" spans="13:13" s="396" customFormat="1" x14ac:dyDescent="0.2">
      <c r="M31" s="397"/>
    </row>
    <row r="32" spans="13:13" s="396" customFormat="1" x14ac:dyDescent="0.2">
      <c r="M32" s="397"/>
    </row>
    <row r="33" spans="1:19" s="396" customFormat="1" x14ac:dyDescent="0.2">
      <c r="M33" s="397"/>
    </row>
    <row r="34" spans="1:19" s="396" customFormat="1" ht="15.75" customHeight="1" x14ac:dyDescent="0.2">
      <c r="B34" s="403" t="s">
        <v>700</v>
      </c>
    </row>
    <row r="35" spans="1:19" s="396" customFormat="1" ht="24.75" customHeight="1" x14ac:dyDescent="0.25">
      <c r="A35" s="402" t="str">
        <f>"VIN = "&amp;Vin&amp;" V, VOUT = "&amp; Vout &amp;" V, IOUT = " &amp;Iout &amp; " A,  Fsw = " &amp; Fsw/1000 &amp;" kHz, Current Limit = "&amp;ROUNDUP(DC_Current_Limit_Setpoint,0)&amp;" A"</f>
        <v>VIN = 24 V, VOUT = 11.8 V, IOUT = 20 A,  Fsw = 500 kHz, Current Limit = 25 A</v>
      </c>
      <c r="Q35" s="520"/>
    </row>
    <row r="36" spans="1:19" ht="24.75" customHeight="1" thickBot="1" x14ac:dyDescent="0.25">
      <c r="A36" s="361" t="s">
        <v>710</v>
      </c>
      <c r="Q36" s="521"/>
    </row>
    <row r="37" spans="1:19" ht="18" customHeight="1" x14ac:dyDescent="0.2">
      <c r="A37" s="503" t="s">
        <v>510</v>
      </c>
      <c r="B37" s="504" t="s">
        <v>509</v>
      </c>
      <c r="C37" s="504" t="s">
        <v>8</v>
      </c>
      <c r="D37" s="589" t="s">
        <v>188</v>
      </c>
      <c r="E37" s="590"/>
      <c r="F37" s="590"/>
      <c r="G37" s="591"/>
      <c r="H37" s="504" t="s">
        <v>496</v>
      </c>
      <c r="I37" s="504" t="s">
        <v>303</v>
      </c>
      <c r="J37" s="504" t="s">
        <v>497</v>
      </c>
      <c r="K37" s="491" t="s">
        <v>675</v>
      </c>
      <c r="L37" s="492" t="s">
        <v>676</v>
      </c>
      <c r="M37" s="359"/>
      <c r="P37" s="529"/>
      <c r="Q37" s="536"/>
      <c r="R37" s="529"/>
      <c r="S37" s="529"/>
    </row>
    <row r="38" spans="1:19" s="366" customFormat="1" ht="17.100000000000001" customHeight="1" x14ac:dyDescent="0.2">
      <c r="A38" s="363">
        <v>1</v>
      </c>
      <c r="B38" s="364" t="s">
        <v>609</v>
      </c>
      <c r="C38" s="378">
        <v>0.1</v>
      </c>
      <c r="D38" s="607">
        <f t="shared" ref="D38:D47" si="0">C38</f>
        <v>0.1</v>
      </c>
      <c r="E38" s="608"/>
      <c r="F38" s="608"/>
      <c r="G38" s="379"/>
      <c r="H38" s="380"/>
      <c r="I38" s="365" t="s">
        <v>498</v>
      </c>
      <c r="J38" s="496" t="s">
        <v>498</v>
      </c>
      <c r="K38" s="500" t="str">
        <f>CHOOSE(Q38, 'Variable Management'!N69,'Variable Management'!N70,'Variable Management'!N71)</f>
        <v>1.6 x 0.8</v>
      </c>
      <c r="L38" s="494">
        <f>CHOOSE(Q38, 'Variable Management'!O69,'Variable Management'!O70,'Variable Management'!O71)</f>
        <v>1.3</v>
      </c>
      <c r="P38" s="519"/>
      <c r="Q38" s="522">
        <v>2</v>
      </c>
      <c r="R38" s="519"/>
      <c r="S38" s="519"/>
    </row>
    <row r="39" spans="1:19" s="366" customFormat="1" ht="17.100000000000001" customHeight="1" x14ac:dyDescent="0.2">
      <c r="A39" s="362">
        <v>1</v>
      </c>
      <c r="B39" s="381" t="s">
        <v>502</v>
      </c>
      <c r="C39" s="382">
        <f>'Design Regulator'!D74</f>
        <v>2620</v>
      </c>
      <c r="D39" s="609">
        <f t="shared" si="0"/>
        <v>2620</v>
      </c>
      <c r="E39" s="610"/>
      <c r="F39" s="610"/>
      <c r="G39" s="383"/>
      <c r="H39" s="384"/>
      <c r="I39" s="385" t="s">
        <v>498</v>
      </c>
      <c r="J39" s="497" t="s">
        <v>498</v>
      </c>
      <c r="K39" s="501" t="str">
        <f>CHOOSE(Q39, 'Variable Management'!N69,'Variable Management'!N70,'Variable Management'!N71)</f>
        <v>1.0 x 0.5</v>
      </c>
      <c r="L39" s="502">
        <f>CHOOSE(Q39, 'Variable Management'!O69,'Variable Management'!O70,'Variable Management'!O71)</f>
        <v>0.5</v>
      </c>
      <c r="P39" s="519"/>
      <c r="Q39" s="522">
        <v>1</v>
      </c>
      <c r="R39" s="519"/>
      <c r="S39" s="519"/>
    </row>
    <row r="40" spans="1:19" s="366" customFormat="1" ht="17.100000000000001" customHeight="1" x14ac:dyDescent="0.2">
      <c r="A40" s="362">
        <v>1</v>
      </c>
      <c r="B40" s="381" t="s">
        <v>503</v>
      </c>
      <c r="C40" s="382">
        <f>'Design Regulator'!D75</f>
        <v>1</v>
      </c>
      <c r="D40" s="611">
        <f t="shared" si="0"/>
        <v>1</v>
      </c>
      <c r="E40" s="612"/>
      <c r="F40" s="612"/>
      <c r="G40" s="383"/>
      <c r="H40" s="384"/>
      <c r="I40" s="385" t="s">
        <v>498</v>
      </c>
      <c r="J40" s="497" t="s">
        <v>498</v>
      </c>
      <c r="K40" s="501" t="str">
        <f>CHOOSE(Q40, 'Variable Management'!N69,'Variable Management'!N70,'Variable Management'!N71)</f>
        <v>1.0 x 0.5</v>
      </c>
      <c r="L40" s="502">
        <f>CHOOSE(Q40, 'Variable Management'!O69,'Variable Management'!O70,'Variable Management'!O71)</f>
        <v>0.5</v>
      </c>
      <c r="P40" s="519"/>
      <c r="Q40" s="522">
        <v>1</v>
      </c>
      <c r="R40" s="519"/>
      <c r="S40" s="519"/>
    </row>
    <row r="41" spans="1:19" s="366" customFormat="1" ht="17.100000000000001" customHeight="1" x14ac:dyDescent="0.2">
      <c r="A41" s="362">
        <v>1</v>
      </c>
      <c r="B41" s="381" t="s">
        <v>504</v>
      </c>
      <c r="C41" s="382">
        <f>'Design Regulator'!D77</f>
        <v>3300</v>
      </c>
      <c r="D41" s="611">
        <f t="shared" si="0"/>
        <v>3300</v>
      </c>
      <c r="E41" s="612"/>
      <c r="F41" s="612"/>
      <c r="G41" s="383"/>
      <c r="H41" s="384"/>
      <c r="I41" s="385" t="s">
        <v>498</v>
      </c>
      <c r="J41" s="497" t="s">
        <v>498</v>
      </c>
      <c r="K41" s="501" t="str">
        <f>CHOOSE(Q41, 'Variable Management'!N69,'Variable Management'!N70,'Variable Management'!N71)</f>
        <v>1.0 x 0.5</v>
      </c>
      <c r="L41" s="502">
        <f>CHOOSE(Q41, 'Variable Management'!O69,'Variable Management'!O70,'Variable Management'!O71)</f>
        <v>0.5</v>
      </c>
      <c r="P41" s="519"/>
      <c r="Q41" s="522">
        <v>1</v>
      </c>
      <c r="R41" s="519"/>
      <c r="S41" s="519"/>
    </row>
    <row r="42" spans="1:19" s="366" customFormat="1" ht="17.100000000000001" customHeight="1" x14ac:dyDescent="0.2">
      <c r="A42" s="373">
        <v>1</v>
      </c>
      <c r="B42" s="374" t="s">
        <v>718</v>
      </c>
      <c r="C42" s="391" t="str">
        <f>'Variable Management'!B270</f>
        <v>27pF</v>
      </c>
      <c r="D42" s="582" t="str">
        <f>"Capacitor, Ceramic, "&amp;'Variable Management'!B270&amp;", 100V, X7R, 20%"</f>
        <v>Capacitor, Ceramic, 27pF, 100V, X7R, 20%</v>
      </c>
      <c r="E42" s="583"/>
      <c r="F42" s="583"/>
      <c r="G42" s="386"/>
      <c r="H42" s="376"/>
      <c r="I42" s="377" t="s">
        <v>498</v>
      </c>
      <c r="J42" s="498" t="s">
        <v>498</v>
      </c>
      <c r="K42" s="500" t="str">
        <f>CHOOSE(Q42, 'Variable Management'!N69,'Variable Management'!N70,'Variable Management'!N71)</f>
        <v>1.6 x 0.8</v>
      </c>
      <c r="L42" s="494">
        <f>CHOOSE(RDSON_sense,CHOOSE(Q42,'Variable Management'!O69,'Variable Management'!O70,'Variable Management'!O71),0)</f>
        <v>1.3</v>
      </c>
      <c r="P42" s="519"/>
      <c r="Q42" s="522">
        <v>2</v>
      </c>
      <c r="R42" s="519"/>
      <c r="S42" s="519"/>
    </row>
    <row r="43" spans="1:19" s="366" customFormat="1" ht="17.100000000000001" customHeight="1" x14ac:dyDescent="0.2">
      <c r="A43" s="362">
        <f>ROUNDUP('Design Regulator'!E41/10,0)</f>
        <v>66</v>
      </c>
      <c r="B43" s="381" t="s">
        <v>505</v>
      </c>
      <c r="C43" s="388" t="str">
        <f>'Variable Management'!B249</f>
        <v>4.7µF</v>
      </c>
      <c r="D43" s="575"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76"/>
      <c r="F43" s="576"/>
      <c r="G43" s="383"/>
      <c r="H43" s="384"/>
      <c r="I43" s="385" t="s">
        <v>498</v>
      </c>
      <c r="J43" s="497" t="s">
        <v>498</v>
      </c>
      <c r="K43" s="501" t="str">
        <f>CHOOSE(Q43, 'Variable Management'!N69,'Variable Management'!N70,'Variable Management'!N71,'Variable Management'!N72,'Variable Management'!N73)</f>
        <v>3.2 x 2.5</v>
      </c>
      <c r="L43" s="502">
        <f>CHOOSE(Q43, 'Variable Management'!O69,'Variable Management'!O70,'Variable Management'!O71,'Variable Management'!O72,'Variable Management'!O73)*A43</f>
        <v>528</v>
      </c>
      <c r="P43" s="519"/>
      <c r="Q43" s="522">
        <v>5</v>
      </c>
      <c r="R43" s="519"/>
      <c r="S43" s="519"/>
    </row>
    <row r="44" spans="1:19" s="366" customFormat="1" ht="17.100000000000001" customHeight="1" x14ac:dyDescent="0.2">
      <c r="A44" s="362">
        <f>'Variable Management'!D242</f>
        <v>150</v>
      </c>
      <c r="B44" s="381" t="s">
        <v>506</v>
      </c>
      <c r="C44" s="388" t="str">
        <f>'Variable Management'!F243</f>
        <v>22µF</v>
      </c>
      <c r="D44" s="575"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22µF, 16V, X7R, 10%</v>
      </c>
      <c r="E44" s="576"/>
      <c r="F44" s="576"/>
      <c r="G44" s="383"/>
      <c r="H44" s="384"/>
      <c r="I44" s="385" t="s">
        <v>498</v>
      </c>
      <c r="J44" s="497" t="s">
        <v>498</v>
      </c>
      <c r="K44" s="501" t="str">
        <f>CHOOSE(Q44, 'Variable Management'!N69,'Variable Management'!N70,'Variable Management'!N71,'Variable Management'!N72,'Variable Management'!N73)</f>
        <v>3.2 x 2.5</v>
      </c>
      <c r="L44" s="502">
        <f>CHOOSE(Q44, 'Variable Management'!O69,'Variable Management'!O70,'Variable Management'!O71,'Variable Management'!O72,'Variable Management'!O73)*A44</f>
        <v>1200</v>
      </c>
      <c r="P44" s="519"/>
      <c r="Q44" s="522">
        <v>5</v>
      </c>
      <c r="R44" s="519"/>
      <c r="S44" s="519"/>
    </row>
    <row r="45" spans="1:19" s="366" customFormat="1" ht="17.100000000000001" customHeight="1" x14ac:dyDescent="0.2">
      <c r="A45" s="373">
        <v>1</v>
      </c>
      <c r="B45" s="374" t="s">
        <v>507</v>
      </c>
      <c r="C45" s="510">
        <f>'Design Regulator'!E49</f>
        <v>220</v>
      </c>
      <c r="D45" s="578">
        <f t="shared" ref="D45" si="1">C45</f>
        <v>220</v>
      </c>
      <c r="E45" s="579"/>
      <c r="F45" s="579"/>
      <c r="G45" s="386"/>
      <c r="H45" s="376"/>
      <c r="I45" s="377" t="s">
        <v>498</v>
      </c>
      <c r="J45" s="498" t="s">
        <v>498</v>
      </c>
      <c r="K45" s="511" t="str">
        <f>CHOOSE(Q45, 'Variable Management'!N69,'Variable Management'!N70,'Variable Management'!N71)</f>
        <v>1.6 x 0.8</v>
      </c>
      <c r="L45" s="512">
        <f>CHOOSE(Q45, 'Variable Management'!O69,'Variable Management'!O70,'Variable Management'!O71)</f>
        <v>1.3</v>
      </c>
      <c r="P45" s="519"/>
      <c r="Q45" s="522">
        <v>2</v>
      </c>
      <c r="R45" s="519"/>
      <c r="S45" s="519"/>
    </row>
    <row r="46" spans="1:19" s="366" customFormat="1" ht="17.100000000000001" customHeight="1" x14ac:dyDescent="0.2">
      <c r="A46" s="373">
        <v>1</v>
      </c>
      <c r="B46" s="374" t="s">
        <v>608</v>
      </c>
      <c r="C46" s="387">
        <v>2.2000000000000002</v>
      </c>
      <c r="D46" s="584">
        <f t="shared" si="0"/>
        <v>2.2000000000000002</v>
      </c>
      <c r="E46" s="585"/>
      <c r="F46" s="585"/>
      <c r="G46" s="386"/>
      <c r="H46" s="376"/>
      <c r="I46" s="377" t="s">
        <v>498</v>
      </c>
      <c r="J46" s="498" t="s">
        <v>498</v>
      </c>
      <c r="K46" s="500" t="str">
        <f>CHOOSE(Q46, 'Variable Management'!N69,'Variable Management'!N70,'Variable Management'!N71)</f>
        <v>2.0 x 1.25</v>
      </c>
      <c r="L46" s="494">
        <f>CHOOSE(Q46, 'Variable Management'!O69,'Variable Management'!O70,'Variable Management'!O71)</f>
        <v>2.5</v>
      </c>
      <c r="P46" s="519"/>
      <c r="Q46" s="522">
        <v>3</v>
      </c>
      <c r="R46" s="519"/>
      <c r="S46" s="519"/>
    </row>
    <row r="47" spans="1:19" s="366" customFormat="1" ht="17.100000000000001" customHeight="1" x14ac:dyDescent="0.2">
      <c r="A47" s="373">
        <v>1</v>
      </c>
      <c r="B47" s="374" t="s">
        <v>508</v>
      </c>
      <c r="C47" s="387">
        <v>0.1</v>
      </c>
      <c r="D47" s="580">
        <f t="shared" si="0"/>
        <v>0.1</v>
      </c>
      <c r="E47" s="581"/>
      <c r="F47" s="581"/>
      <c r="G47" s="386"/>
      <c r="H47" s="376"/>
      <c r="I47" s="377" t="s">
        <v>498</v>
      </c>
      <c r="J47" s="498" t="s">
        <v>498</v>
      </c>
      <c r="K47" s="500" t="str">
        <f>CHOOSE(Q47, 'Variable Management'!N69,'Variable Management'!N70,'Variable Management'!N71)</f>
        <v>1.6 x 0.8</v>
      </c>
      <c r="L47" s="494">
        <f>CHOOSE(Q47, 'Variable Management'!O69,'Variable Management'!O70,'Variable Management'!O71)</f>
        <v>1.3</v>
      </c>
      <c r="P47" s="519"/>
      <c r="Q47" s="522">
        <v>2</v>
      </c>
      <c r="R47" s="519"/>
      <c r="S47" s="519"/>
    </row>
    <row r="48" spans="1:19" s="366" customFormat="1" ht="17.100000000000001" customHeight="1" x14ac:dyDescent="0.2">
      <c r="A48" s="362">
        <v>1</v>
      </c>
      <c r="B48" s="381" t="s">
        <v>606</v>
      </c>
      <c r="C48" s="390">
        <f>'Design Regulator'!E17</f>
        <v>1.5</v>
      </c>
      <c r="D48" s="575" t="str">
        <f>"Inductor, "&amp;Lout2*1000000&amp;"µH, "&amp;Rdcr*1000&amp;"mΩ, &gt;"&amp;ROUNDUP(Ilsat,0)&amp;"A"</f>
        <v>Inductor, 1.5µH, 5mΩ, &gt;35A</v>
      </c>
      <c r="E48" s="576"/>
      <c r="F48" s="576"/>
      <c r="G48" s="577"/>
      <c r="H48" s="385"/>
      <c r="I48" s="385" t="s">
        <v>511</v>
      </c>
      <c r="J48" s="497" t="s">
        <v>511</v>
      </c>
      <c r="K48" s="501" t="str">
        <f>CHOOSE(Q48, 'Variable Management'!N78,'Variable Management'!N79,'Variable Management'!N80, 'Variable Management'!N81, 'Variable Management'!N82, 'Variable Management'!N83, 'Variable Management'!N84, 'Variable Management'!N85)</f>
        <v>10.0 x 10.0</v>
      </c>
      <c r="L48" s="502">
        <f>CHOOSE(Q48, 'Variable Management'!O78,'Variable Management'!O79,'Variable Management'!O80, 'Variable Management'!O81, 'Variable Management'!O82, 'Variable Management'!O83, 'Variable Management'!O84, 'Variable Management'!O85)</f>
        <v>100</v>
      </c>
      <c r="P48" s="519"/>
      <c r="Q48" s="522">
        <v>7</v>
      </c>
      <c r="R48" s="519"/>
      <c r="S48" s="519"/>
    </row>
    <row r="49" spans="1:19" s="366" customFormat="1" ht="17.100000000000001" customHeight="1" x14ac:dyDescent="0.2">
      <c r="A49" s="373">
        <f>R49</f>
        <v>1</v>
      </c>
      <c r="B49" s="374" t="s">
        <v>512</v>
      </c>
      <c r="C49" s="389" t="s">
        <v>499</v>
      </c>
      <c r="D49" s="598">
        <f>'Design Regulator'!E84</f>
        <v>1.8</v>
      </c>
      <c r="E49" s="599"/>
      <c r="F49" s="599"/>
      <c r="G49" s="600"/>
      <c r="H49" s="377"/>
      <c r="I49" s="377" t="str">
        <f>'Design Regulator'!E83</f>
        <v>BSC117N08NS5</v>
      </c>
      <c r="J49" s="498" t="s">
        <v>500</v>
      </c>
      <c r="K49" s="500" t="str">
        <f>CHOOSE(Q49, 'Variable Management'!N48,'Variable Management'!N49,'Variable Management'!N50,'Variable Management'!N51)</f>
        <v>5.0 x 6.0</v>
      </c>
      <c r="L49" s="494">
        <f>CHOOSE(Q49, 'Variable Management'!O48,'Variable Management'!O49,'Variable Management'!O50,'Variable Management'!O51)*R49</f>
        <v>30</v>
      </c>
      <c r="P49" s="519"/>
      <c r="Q49" s="522">
        <v>1</v>
      </c>
      <c r="R49" s="522">
        <v>1</v>
      </c>
      <c r="S49" s="519"/>
    </row>
    <row r="50" spans="1:19" s="366" customFormat="1" ht="17.100000000000001" customHeight="1" x14ac:dyDescent="0.2">
      <c r="A50" s="373">
        <f>R50</f>
        <v>1</v>
      </c>
      <c r="B50" s="374" t="s">
        <v>513</v>
      </c>
      <c r="C50" s="389" t="s">
        <v>499</v>
      </c>
      <c r="D50" s="598">
        <f>'Design Regulator'!E96</f>
        <v>1.8</v>
      </c>
      <c r="E50" s="599"/>
      <c r="F50" s="599"/>
      <c r="G50" s="600"/>
      <c r="H50" s="377"/>
      <c r="I50" s="377" t="str">
        <f>'Design Regulator'!E95</f>
        <v>BSC037N08NS5</v>
      </c>
      <c r="J50" s="498" t="s">
        <v>500</v>
      </c>
      <c r="K50" s="500" t="str">
        <f>CHOOSE(Q50, 'Variable Management'!N48,'Variable Management'!N49,'Variable Management'!N50,'Variable Management'!N51)</f>
        <v>5.0 x 6.0</v>
      </c>
      <c r="L50" s="494">
        <f>CHOOSE(Q50, 'Variable Management'!O48,'Variable Management'!O49,'Variable Management'!O50,'Variable Management'!O51)*R50</f>
        <v>30</v>
      </c>
      <c r="P50" s="519"/>
      <c r="Q50" s="522">
        <v>1</v>
      </c>
      <c r="R50" s="522">
        <v>1</v>
      </c>
      <c r="S50" s="519"/>
    </row>
    <row r="51" spans="1:19" s="366" customFormat="1" ht="17.100000000000001" customHeight="1" x14ac:dyDescent="0.2">
      <c r="A51" s="373"/>
      <c r="B51" s="374"/>
      <c r="C51" s="389"/>
      <c r="D51" s="483"/>
      <c r="E51" s="484"/>
      <c r="F51" s="484"/>
      <c r="G51" s="485"/>
      <c r="H51" s="377"/>
      <c r="I51" s="377"/>
      <c r="J51" s="498"/>
      <c r="K51" s="500"/>
      <c r="L51" s="494"/>
      <c r="P51" s="519"/>
      <c r="Q51" s="522"/>
      <c r="R51" s="519"/>
      <c r="S51" s="519"/>
    </row>
    <row r="52" spans="1:19" s="366" customFormat="1" ht="17.100000000000001" customHeight="1" x14ac:dyDescent="0.2">
      <c r="A52" s="367">
        <v>1</v>
      </c>
      <c r="B52" s="368" t="s">
        <v>514</v>
      </c>
      <c r="C52" s="369">
        <f>'Design Regulator'!D73</f>
        <v>18</v>
      </c>
      <c r="D52" s="586">
        <f t="shared" ref="D52:D62" si="2">C52</f>
        <v>18</v>
      </c>
      <c r="E52" s="587"/>
      <c r="F52" s="587"/>
      <c r="G52" s="588"/>
      <c r="H52" s="370"/>
      <c r="I52" s="371" t="s">
        <v>498</v>
      </c>
      <c r="J52" s="499" t="s">
        <v>498</v>
      </c>
      <c r="K52" s="501" t="str">
        <f>CHOOSE(Q52, 'Variable Management'!N69,'Variable Management'!N70,'Variable Management'!N71)</f>
        <v>1.0 x 0.5</v>
      </c>
      <c r="L52" s="502">
        <f>CHOOSE(Q52, 'Variable Management'!O69,'Variable Management'!O70,'Variable Management'!O71)</f>
        <v>0.5</v>
      </c>
      <c r="P52" s="519"/>
      <c r="Q52" s="522">
        <v>1</v>
      </c>
      <c r="R52" s="519"/>
      <c r="S52" s="519"/>
    </row>
    <row r="53" spans="1:19" s="366" customFormat="1" ht="17.100000000000001" customHeight="1" x14ac:dyDescent="0.2">
      <c r="A53" s="367">
        <v>1</v>
      </c>
      <c r="B53" s="368" t="s">
        <v>515</v>
      </c>
      <c r="C53" s="372">
        <f>'Design Regulator'!D76</f>
        <v>1800</v>
      </c>
      <c r="D53" s="572">
        <f t="shared" si="2"/>
        <v>1800</v>
      </c>
      <c r="E53" s="573"/>
      <c r="F53" s="573"/>
      <c r="G53" s="574"/>
      <c r="H53" s="370"/>
      <c r="I53" s="371" t="s">
        <v>498</v>
      </c>
      <c r="J53" s="499" t="s">
        <v>498</v>
      </c>
      <c r="K53" s="501" t="str">
        <f>CHOOSE(Q52, 'Variable Management'!N69,'Variable Management'!N70,'Variable Management'!N71)</f>
        <v>1.0 x 0.5</v>
      </c>
      <c r="L53" s="502">
        <f>CHOOSE(Q53, 'Variable Management'!O69,'Variable Management'!O70,'Variable Management'!O71)</f>
        <v>0.5</v>
      </c>
      <c r="P53" s="519"/>
      <c r="Q53" s="522">
        <v>1</v>
      </c>
      <c r="R53" s="519"/>
      <c r="S53" s="519"/>
    </row>
    <row r="54" spans="1:19" s="366" customFormat="1" ht="17.100000000000001" customHeight="1" x14ac:dyDescent="0.2">
      <c r="A54" s="367">
        <v>1</v>
      </c>
      <c r="B54" s="368" t="s">
        <v>610</v>
      </c>
      <c r="C54" s="372">
        <f>'Design Regulator'!E25</f>
        <v>187</v>
      </c>
      <c r="D54" s="572">
        <f t="shared" si="2"/>
        <v>187</v>
      </c>
      <c r="E54" s="573"/>
      <c r="F54" s="573"/>
      <c r="G54" s="574"/>
      <c r="H54" s="370"/>
      <c r="I54" s="371" t="s">
        <v>498</v>
      </c>
      <c r="J54" s="499" t="s">
        <v>498</v>
      </c>
      <c r="K54" s="501" t="str">
        <f>CHOOSE(Q52, 'Variable Management'!N69,'Variable Management'!N70,'Variable Management'!N71)</f>
        <v>1.0 x 0.5</v>
      </c>
      <c r="L54" s="502">
        <f>CHOOSE(Q54, 'Variable Management'!O69,'Variable Management'!O70,'Variable Management'!O71)</f>
        <v>2.5</v>
      </c>
      <c r="P54" s="519"/>
      <c r="Q54" s="522">
        <v>3</v>
      </c>
      <c r="R54" s="519"/>
      <c r="S54" s="519"/>
    </row>
    <row r="55" spans="1:19" s="366" customFormat="1" ht="17.100000000000001" customHeight="1" x14ac:dyDescent="0.2">
      <c r="A55" s="367">
        <v>1</v>
      </c>
      <c r="B55" s="368" t="s">
        <v>611</v>
      </c>
      <c r="C55" s="369">
        <f>'Design Regulator'!E13</f>
        <v>20</v>
      </c>
      <c r="D55" s="586">
        <f t="shared" si="2"/>
        <v>20</v>
      </c>
      <c r="E55" s="587"/>
      <c r="F55" s="587"/>
      <c r="G55" s="588"/>
      <c r="H55" s="370"/>
      <c r="I55" s="371" t="s">
        <v>498</v>
      </c>
      <c r="J55" s="499" t="s">
        <v>498</v>
      </c>
      <c r="K55" s="501" t="str">
        <f>CHOOSE(Q55, 'Variable Management'!N69,'Variable Management'!N70,'Variable Management'!N71)</f>
        <v>1.0 x 0.5</v>
      </c>
      <c r="L55" s="502">
        <f>CHOOSE(Q55, 'Variable Management'!O69,'Variable Management'!O70,'Variable Management'!O71)</f>
        <v>0.5</v>
      </c>
      <c r="P55" s="519"/>
      <c r="Q55" s="522">
        <v>1</v>
      </c>
      <c r="R55" s="519"/>
      <c r="S55" s="519"/>
    </row>
    <row r="56" spans="1:19" s="366" customFormat="1" ht="17.100000000000001" customHeight="1" x14ac:dyDescent="0.2">
      <c r="A56" s="367">
        <v>1</v>
      </c>
      <c r="B56" s="368" t="s">
        <v>521</v>
      </c>
      <c r="C56" s="369">
        <f>'Design Regulator'!E62</f>
        <v>18</v>
      </c>
      <c r="D56" s="586">
        <f t="shared" si="2"/>
        <v>18</v>
      </c>
      <c r="E56" s="587"/>
      <c r="F56" s="587"/>
      <c r="G56" s="588"/>
      <c r="H56" s="370"/>
      <c r="I56" s="371" t="s">
        <v>498</v>
      </c>
      <c r="J56" s="499" t="s">
        <v>498</v>
      </c>
      <c r="K56" s="501" t="str">
        <f>CHOOSE(Q56, 'Variable Management'!N69,'Variable Management'!N70,'Variable Management'!N71)</f>
        <v>1.0 x 0.5</v>
      </c>
      <c r="L56" s="502">
        <f>CHOOSE(Q56, 'Variable Management'!O69,'Variable Management'!O70,'Variable Management'!O71)</f>
        <v>0.5</v>
      </c>
      <c r="P56" s="519"/>
      <c r="Q56" s="522">
        <v>1</v>
      </c>
      <c r="R56" s="519"/>
      <c r="S56" s="519"/>
    </row>
    <row r="57" spans="1:19" s="366" customFormat="1" ht="17.100000000000001" customHeight="1" x14ac:dyDescent="0.2">
      <c r="A57" s="367">
        <v>1</v>
      </c>
      <c r="B57" s="368" t="s">
        <v>522</v>
      </c>
      <c r="C57" s="369">
        <f>'Design Regulator'!E63</f>
        <v>1.3</v>
      </c>
      <c r="D57" s="586">
        <f t="shared" si="2"/>
        <v>1.3</v>
      </c>
      <c r="E57" s="587"/>
      <c r="F57" s="587"/>
      <c r="G57" s="588"/>
      <c r="H57" s="370"/>
      <c r="I57" s="371" t="s">
        <v>498</v>
      </c>
      <c r="J57" s="499" t="s">
        <v>498</v>
      </c>
      <c r="K57" s="501" t="str">
        <f>CHOOSE(Q57, 'Variable Management'!N69,'Variable Management'!N70,'Variable Management'!N71)</f>
        <v>1.0 x 0.5</v>
      </c>
      <c r="L57" s="502">
        <f>CHOOSE(Q57, 'Variable Management'!O69,'Variable Management'!O70,'Variable Management'!O71)</f>
        <v>0.5</v>
      </c>
      <c r="P57" s="519"/>
      <c r="Q57" s="522">
        <v>1</v>
      </c>
      <c r="R57" s="519"/>
      <c r="S57" s="519"/>
    </row>
    <row r="58" spans="1:19" s="366" customFormat="1" ht="17.100000000000001" customHeight="1" x14ac:dyDescent="0.2">
      <c r="A58" s="373">
        <v>1</v>
      </c>
      <c r="B58" s="374" t="s">
        <v>520</v>
      </c>
      <c r="C58" s="375">
        <v>20</v>
      </c>
      <c r="D58" s="595">
        <f t="shared" si="2"/>
        <v>20</v>
      </c>
      <c r="E58" s="596"/>
      <c r="F58" s="596"/>
      <c r="G58" s="597"/>
      <c r="H58" s="376"/>
      <c r="I58" s="377" t="s">
        <v>498</v>
      </c>
      <c r="J58" s="498" t="s">
        <v>498</v>
      </c>
      <c r="K58" s="500" t="str">
        <f>CHOOSE(Q58, 'Variable Management'!N69,'Variable Management'!N70,'Variable Management'!N71)</f>
        <v>1.0 x 0.5</v>
      </c>
      <c r="L58" s="494">
        <f>CHOOSE(Q58, 'Variable Management'!O69,'Variable Management'!O70,'Variable Management'!O71)</f>
        <v>0.5</v>
      </c>
      <c r="P58" s="519"/>
      <c r="Q58" s="522">
        <v>1</v>
      </c>
      <c r="R58" s="519"/>
      <c r="S58" s="519"/>
    </row>
    <row r="59" spans="1:19" s="366" customFormat="1" ht="17.100000000000001" customHeight="1" x14ac:dyDescent="0.2">
      <c r="A59" s="373">
        <v>1</v>
      </c>
      <c r="B59" s="374" t="s">
        <v>519</v>
      </c>
      <c r="C59" s="539">
        <f>'Design Regulator'!E23</f>
        <v>2</v>
      </c>
      <c r="D59" s="604">
        <f t="shared" si="2"/>
        <v>2</v>
      </c>
      <c r="E59" s="605"/>
      <c r="F59" s="605"/>
      <c r="G59" s="606"/>
      <c r="H59" s="538">
        <v>1206</v>
      </c>
      <c r="I59" s="377" t="s">
        <v>498</v>
      </c>
      <c r="J59" s="498" t="s">
        <v>498</v>
      </c>
      <c r="K59" s="500" t="s">
        <v>643</v>
      </c>
      <c r="L59" s="494">
        <f>CHOOSE(RDSON_sense, 0,5.1)</f>
        <v>0</v>
      </c>
      <c r="P59" s="519"/>
      <c r="Q59" s="522"/>
      <c r="R59" s="519"/>
      <c r="S59" s="519"/>
    </row>
    <row r="60" spans="1:19" s="366" customFormat="1" ht="17.100000000000001" customHeight="1" x14ac:dyDescent="0.2">
      <c r="A60" s="367">
        <v>1</v>
      </c>
      <c r="B60" s="368" t="s">
        <v>516</v>
      </c>
      <c r="C60" s="369">
        <f>'Design Regulator'!E52</f>
        <v>2000</v>
      </c>
      <c r="D60" s="586">
        <f t="shared" si="2"/>
        <v>2000</v>
      </c>
      <c r="E60" s="587"/>
      <c r="F60" s="587"/>
      <c r="G60" s="588"/>
      <c r="H60" s="370"/>
      <c r="I60" s="371" t="s">
        <v>498</v>
      </c>
      <c r="J60" s="499" t="s">
        <v>498</v>
      </c>
      <c r="K60" s="501" t="str">
        <f>CHOOSE(Q60, 'Variable Management'!N69,'Variable Management'!N70,'Variable Management'!N71)</f>
        <v>1.6 x 0.8</v>
      </c>
      <c r="L60" s="502">
        <f>CHOOSE(Q60, 'Variable Management'!O69,'Variable Management'!O70,'Variable Management'!O71)</f>
        <v>1.3</v>
      </c>
      <c r="P60" s="519"/>
      <c r="Q60" s="522">
        <v>2</v>
      </c>
      <c r="R60" s="519"/>
      <c r="S60" s="519"/>
    </row>
    <row r="61" spans="1:19" s="366" customFormat="1" ht="17.100000000000001" customHeight="1" x14ac:dyDescent="0.2">
      <c r="A61" s="367">
        <v>1</v>
      </c>
      <c r="B61" s="368" t="s">
        <v>517</v>
      </c>
      <c r="C61" s="369">
        <f>'Design Regulator'!E53</f>
        <v>121</v>
      </c>
      <c r="D61" s="586">
        <f t="shared" si="2"/>
        <v>121</v>
      </c>
      <c r="E61" s="587"/>
      <c r="F61" s="587"/>
      <c r="G61" s="588"/>
      <c r="H61" s="370"/>
      <c r="I61" s="371" t="s">
        <v>498</v>
      </c>
      <c r="J61" s="499" t="s">
        <v>498</v>
      </c>
      <c r="K61" s="501" t="str">
        <f>CHOOSE(Q61, 'Variable Management'!N69,'Variable Management'!N70,'Variable Management'!N71)</f>
        <v>1.0 x 0.5</v>
      </c>
      <c r="L61" s="502">
        <f>CHOOSE(Q61, 'Variable Management'!O69,'Variable Management'!O70,'Variable Management'!O71)</f>
        <v>0.5</v>
      </c>
      <c r="P61" s="519"/>
      <c r="Q61" s="522">
        <v>1</v>
      </c>
      <c r="R61" s="519"/>
      <c r="S61" s="519"/>
    </row>
    <row r="62" spans="1:19" s="366" customFormat="1" ht="17.100000000000001" customHeight="1" x14ac:dyDescent="0.2">
      <c r="A62" s="373">
        <v>1</v>
      </c>
      <c r="B62" s="374" t="s">
        <v>518</v>
      </c>
      <c r="C62" s="391">
        <v>2.2000000000000002</v>
      </c>
      <c r="D62" s="601">
        <f t="shared" si="2"/>
        <v>2.2000000000000002</v>
      </c>
      <c r="E62" s="602"/>
      <c r="F62" s="602"/>
      <c r="G62" s="603"/>
      <c r="H62" s="376"/>
      <c r="I62" s="377" t="s">
        <v>498</v>
      </c>
      <c r="J62" s="498" t="s">
        <v>498</v>
      </c>
      <c r="K62" s="500" t="str">
        <f>CHOOSE(Q62, 'Variable Management'!N69,'Variable Management'!N70,'Variable Management'!N71)</f>
        <v>1.0 x 0.5</v>
      </c>
      <c r="L62" s="494">
        <f>CHOOSE(Q62, 'Variable Management'!O69,'Variable Management'!O70,'Variable Management'!O71)</f>
        <v>0.5</v>
      </c>
      <c r="P62" s="519"/>
      <c r="Q62" s="522">
        <v>1</v>
      </c>
      <c r="R62" s="519"/>
      <c r="S62" s="519"/>
    </row>
    <row r="63" spans="1:19" s="366" customFormat="1" ht="17.100000000000001" customHeight="1" x14ac:dyDescent="0.2">
      <c r="A63" s="393">
        <v>1</v>
      </c>
      <c r="B63" s="394" t="s">
        <v>523</v>
      </c>
      <c r="C63" s="392" t="s">
        <v>750</v>
      </c>
      <c r="D63" s="592" t="s">
        <v>749</v>
      </c>
      <c r="E63" s="593"/>
      <c r="F63" s="593"/>
      <c r="G63" s="594"/>
      <c r="H63" s="395" t="s">
        <v>627</v>
      </c>
      <c r="I63" s="395" t="s">
        <v>748</v>
      </c>
      <c r="J63" s="482" t="s">
        <v>500</v>
      </c>
      <c r="K63" s="500" t="s">
        <v>714</v>
      </c>
      <c r="L63" s="495">
        <v>15.75</v>
      </c>
      <c r="P63" s="519"/>
      <c r="Q63" s="522"/>
      <c r="R63" s="519"/>
      <c r="S63" s="519"/>
    </row>
    <row r="64" spans="1:19" x14ac:dyDescent="0.2">
      <c r="L64" s="493"/>
      <c r="P64" s="529"/>
      <c r="Q64" s="530"/>
      <c r="R64" s="529"/>
      <c r="S64" s="529"/>
    </row>
    <row r="65" spans="1:15" ht="18.75" x14ac:dyDescent="0.25">
      <c r="I65" s="571" t="s">
        <v>677</v>
      </c>
      <c r="J65" s="571"/>
      <c r="K65" s="571"/>
      <c r="L65" s="505">
        <f>SUM(L38:L63)*1.25</f>
        <v>2400.9374999999995</v>
      </c>
      <c r="M65" s="506" t="s">
        <v>678</v>
      </c>
      <c r="N65" s="507">
        <f>L65/25.4/25.4</f>
        <v>3.7214605679211359</v>
      </c>
      <c r="O65" s="506" t="s">
        <v>679</v>
      </c>
    </row>
    <row r="66" spans="1:15" x14ac:dyDescent="0.2">
      <c r="A66" s="404" t="s">
        <v>541</v>
      </c>
    </row>
    <row r="67" spans="1:15" x14ac:dyDescent="0.2">
      <c r="A67" s="359" t="s">
        <v>540</v>
      </c>
    </row>
    <row r="68" spans="1:15" x14ac:dyDescent="0.2">
      <c r="A68" s="359" t="s">
        <v>713</v>
      </c>
    </row>
    <row r="455" spans="17:17" x14ac:dyDescent="0.2">
      <c r="Q455" s="359">
        <v>2</v>
      </c>
    </row>
  </sheetData>
  <sheetProtection password="CCC8"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5" type="noConversion"/>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200025</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200025</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200025</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200025</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200025</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200025</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200025</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200025</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200025</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200025</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200025</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200025</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200025</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200025</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200025</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200025</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200025</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200025</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200025</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200025</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200025</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200025</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200025</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1171575</xdr:colOff>
                    <xdr:row>48</xdr:row>
                    <xdr:rowOff>9525</xdr:rowOff>
                  </from>
                  <to>
                    <xdr:col>6</xdr:col>
                    <xdr:colOff>638175</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1171575</xdr:colOff>
                    <xdr:row>49</xdr:row>
                    <xdr:rowOff>0</xdr:rowOff>
                  </from>
                  <to>
                    <xdr:col>6</xdr:col>
                    <xdr:colOff>638175</xdr:colOff>
                    <xdr:row>49</xdr:row>
                    <xdr:rowOff>200025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W85"/>
  <sheetViews>
    <sheetView zoomScale="85" zoomScaleNormal="85" zoomScaleSheetLayoutView="80" workbookViewId="0">
      <selection activeCell="A2" sqref="A2"/>
    </sheetView>
  </sheetViews>
  <sheetFormatPr defaultColWidth="9.140625" defaultRowHeight="12.75" x14ac:dyDescent="0.2"/>
  <cols>
    <col min="1" max="13" width="9.140625" style="559"/>
    <col min="14" max="14" width="11.85546875" style="559" customWidth="1"/>
    <col min="15" max="16" width="9.140625" style="559"/>
    <col min="17" max="17" width="15.7109375" style="559" customWidth="1"/>
    <col min="18" max="16384" width="9.140625" style="559"/>
  </cols>
  <sheetData>
    <row r="1" spans="1:23" s="558" customFormat="1" ht="47.25" customHeight="1" x14ac:dyDescent="0.2">
      <c r="A1" s="613" t="s">
        <v>760</v>
      </c>
      <c r="B1" s="614"/>
      <c r="C1" s="614"/>
      <c r="D1" s="614"/>
      <c r="E1" s="614"/>
      <c r="F1" s="614"/>
      <c r="G1" s="614"/>
      <c r="H1" s="614"/>
      <c r="I1" s="614"/>
      <c r="J1" s="614"/>
      <c r="K1" s="614"/>
      <c r="L1" s="614"/>
      <c r="M1" s="614"/>
      <c r="N1" s="614"/>
      <c r="O1" s="614"/>
      <c r="P1" s="614"/>
      <c r="Q1" s="614"/>
      <c r="R1" s="557"/>
    </row>
    <row r="2" spans="1:23" ht="20.25" x14ac:dyDescent="0.3">
      <c r="M2" s="560"/>
      <c r="W2" s="560"/>
    </row>
    <row r="3" spans="1:23" ht="20.25" x14ac:dyDescent="0.3">
      <c r="B3" s="560" t="s">
        <v>742</v>
      </c>
    </row>
    <row r="5" spans="1:23" ht="20.25" x14ac:dyDescent="0.2">
      <c r="O5" s="561" t="s">
        <v>747</v>
      </c>
    </row>
    <row r="6" spans="1:23" ht="20.25" x14ac:dyDescent="0.2">
      <c r="O6" s="561" t="s">
        <v>745</v>
      </c>
    </row>
    <row r="31" spans="15:15" ht="20.25" x14ac:dyDescent="0.2">
      <c r="O31" s="562" t="s">
        <v>743</v>
      </c>
    </row>
    <row r="32" spans="15:15" ht="20.25" x14ac:dyDescent="0.2">
      <c r="O32" s="561"/>
    </row>
    <row r="57" spans="15:15" ht="20.25" x14ac:dyDescent="0.2">
      <c r="O57" s="562" t="s">
        <v>744</v>
      </c>
    </row>
    <row r="84" spans="15:15" ht="20.25" x14ac:dyDescent="0.2">
      <c r="O84" s="561" t="s">
        <v>746</v>
      </c>
    </row>
    <row r="85" spans="15:15" ht="20.25" x14ac:dyDescent="0.2">
      <c r="O85" s="561" t="s">
        <v>745</v>
      </c>
    </row>
  </sheetData>
  <sheetProtection password="CCC8" sheet="1" objects="1" scenarios="1" selectLockedCells="1"/>
  <mergeCells count="1">
    <mergeCell ref="A1:Q1"/>
  </mergeCells>
  <phoneticPr fontId="105" type="noConversion"/>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S349"/>
  <sheetViews>
    <sheetView workbookViewId="0">
      <pane ySplit="5" topLeftCell="A21" activePane="bottomLeft" state="frozenSplit"/>
      <selection pane="bottomLeft" activeCell="N45" sqref="N45"/>
    </sheetView>
  </sheetViews>
  <sheetFormatPr defaultRowHeight="12.75" x14ac:dyDescent="0.2"/>
  <cols>
    <col min="1" max="1" width="35.140625" bestFit="1" customWidth="1"/>
    <col min="2" max="2" width="19.140625" customWidth="1"/>
    <col min="7" max="7" width="18.85546875" customWidth="1"/>
    <col min="9" max="10" width="12.42578125" bestFit="1" customWidth="1"/>
    <col min="12" max="12" width="19.85546875" customWidth="1"/>
    <col min="14" max="14" width="11.42578125" customWidth="1"/>
    <col min="17" max="17" width="10.5703125" customWidth="1"/>
  </cols>
  <sheetData>
    <row r="1" spans="1:8" ht="40.5" customHeight="1" x14ac:dyDescent="0.4">
      <c r="A1" s="616" t="s">
        <v>286</v>
      </c>
      <c r="B1" s="616"/>
      <c r="C1" s="616"/>
      <c r="D1" s="616"/>
      <c r="E1" s="616"/>
      <c r="F1" s="616"/>
      <c r="G1" s="616"/>
      <c r="H1" s="616"/>
    </row>
    <row r="2" spans="1:8" ht="12" customHeight="1" x14ac:dyDescent="0.2">
      <c r="A2" s="78"/>
      <c r="B2" s="78" t="s">
        <v>360</v>
      </c>
      <c r="C2" s="79"/>
      <c r="D2" s="78"/>
      <c r="E2" s="78"/>
      <c r="F2" s="78"/>
      <c r="G2" s="78"/>
      <c r="H2" s="78"/>
    </row>
    <row r="3" spans="1:8" ht="11.25" customHeight="1" x14ac:dyDescent="0.2">
      <c r="A3" s="78"/>
      <c r="B3" s="78" t="s">
        <v>420</v>
      </c>
      <c r="C3" s="80"/>
      <c r="D3" s="78"/>
      <c r="E3" s="78"/>
      <c r="F3" s="78"/>
      <c r="G3" s="78"/>
      <c r="H3" s="78"/>
    </row>
    <row r="4" spans="1:8" ht="11.25" customHeight="1" x14ac:dyDescent="0.2">
      <c r="A4" s="78"/>
      <c r="B4" s="78" t="s">
        <v>361</v>
      </c>
      <c r="C4" s="81"/>
      <c r="D4" s="78"/>
      <c r="E4" s="78"/>
      <c r="F4" s="78"/>
      <c r="G4" s="78"/>
      <c r="H4" s="78"/>
    </row>
    <row r="5" spans="1:8" x14ac:dyDescent="0.2">
      <c r="A5" s="2" t="s">
        <v>113</v>
      </c>
      <c r="B5" s="2" t="s">
        <v>8</v>
      </c>
      <c r="C5" s="2" t="s">
        <v>9</v>
      </c>
      <c r="D5" s="615" t="s">
        <v>13</v>
      </c>
      <c r="E5" s="615"/>
      <c r="F5" s="615"/>
      <c r="G5" s="615"/>
      <c r="H5" s="2" t="s">
        <v>38</v>
      </c>
    </row>
    <row r="6" spans="1:8" ht="16.5" thickBot="1" x14ac:dyDescent="0.3">
      <c r="A6" s="158" t="s">
        <v>288</v>
      </c>
      <c r="B6" s="133"/>
      <c r="C6" s="133"/>
      <c r="D6" s="159"/>
      <c r="E6" s="159"/>
      <c r="F6" s="159"/>
      <c r="G6" s="159"/>
      <c r="H6" s="133"/>
    </row>
    <row r="7" spans="1:8" x14ac:dyDescent="0.2">
      <c r="A7" s="160" t="s">
        <v>4</v>
      </c>
      <c r="B7" s="21">
        <f>'Design Regulator'!E7</f>
        <v>24</v>
      </c>
      <c r="C7" s="112" t="s">
        <v>0</v>
      </c>
      <c r="D7" s="112" t="s">
        <v>14</v>
      </c>
      <c r="E7" s="112"/>
      <c r="F7" s="112"/>
      <c r="G7" s="112"/>
      <c r="H7" s="113">
        <v>1</v>
      </c>
    </row>
    <row r="8" spans="1:8" x14ac:dyDescent="0.2">
      <c r="A8" s="445" t="s">
        <v>578</v>
      </c>
      <c r="B8" s="44">
        <f>'Design Regulator'!E6</f>
        <v>24</v>
      </c>
      <c r="C8" s="204" t="s">
        <v>0</v>
      </c>
      <c r="D8" s="204" t="s">
        <v>581</v>
      </c>
      <c r="E8" s="13"/>
      <c r="F8" s="13"/>
      <c r="G8" s="13"/>
      <c r="H8" s="106"/>
    </row>
    <row r="9" spans="1:8" x14ac:dyDescent="0.2">
      <c r="A9" s="445" t="s">
        <v>577</v>
      </c>
      <c r="B9" s="44">
        <f>'Design Regulator'!E8</f>
        <v>24</v>
      </c>
      <c r="C9" s="204" t="s">
        <v>0</v>
      </c>
      <c r="D9" s="204" t="s">
        <v>582</v>
      </c>
      <c r="E9" s="13"/>
      <c r="F9" s="13"/>
      <c r="G9" s="13"/>
      <c r="H9" s="106"/>
    </row>
    <row r="10" spans="1:8" x14ac:dyDescent="0.2">
      <c r="A10" s="105" t="s">
        <v>5</v>
      </c>
      <c r="B10" s="44">
        <f>'Design Regulator'!E9</f>
        <v>11.8</v>
      </c>
      <c r="C10" s="13" t="s">
        <v>0</v>
      </c>
      <c r="D10" s="13" t="s">
        <v>1</v>
      </c>
      <c r="E10" s="13"/>
      <c r="F10" s="13"/>
      <c r="G10" s="13"/>
      <c r="H10" s="106">
        <v>1</v>
      </c>
    </row>
    <row r="11" spans="1:8" x14ac:dyDescent="0.2">
      <c r="A11" s="105" t="s">
        <v>6</v>
      </c>
      <c r="B11" s="44">
        <f>'Design Regulator'!E10</f>
        <v>20</v>
      </c>
      <c r="C11" s="13" t="s">
        <v>2</v>
      </c>
      <c r="D11" s="13" t="s">
        <v>15</v>
      </c>
      <c r="E11" s="13"/>
      <c r="F11" s="13"/>
      <c r="G11" s="13"/>
      <c r="H11" s="106">
        <v>1</v>
      </c>
    </row>
    <row r="12" spans="1:8" x14ac:dyDescent="0.2">
      <c r="A12" s="107" t="s">
        <v>7</v>
      </c>
      <c r="B12" s="406">
        <f>IF(AND('Design Regulator'!E12&lt;='Design Regulator'!E11*1.5, 'Design Regulator'!E12&gt;='Design Regulator'!E11*0.8), 'Design Regulator'!E12*1000, 'Design Regulator'!E11*1000)</f>
        <v>500000</v>
      </c>
      <c r="C12" s="204" t="s">
        <v>10</v>
      </c>
      <c r="D12" s="13" t="s">
        <v>16</v>
      </c>
      <c r="E12" s="13"/>
      <c r="F12" s="13"/>
      <c r="G12" s="13"/>
      <c r="H12" s="106">
        <v>1</v>
      </c>
    </row>
    <row r="13" spans="1:8" x14ac:dyDescent="0.2">
      <c r="A13" s="445" t="s">
        <v>711</v>
      </c>
      <c r="B13" s="406">
        <f>'Design Regulator'!E11*1000</f>
        <v>500000</v>
      </c>
      <c r="C13" s="354" t="s">
        <v>10</v>
      </c>
      <c r="D13" s="354" t="s">
        <v>712</v>
      </c>
      <c r="E13" s="13"/>
      <c r="F13" s="13"/>
      <c r="G13" s="13"/>
      <c r="H13" s="106"/>
    </row>
    <row r="14" spans="1:8" x14ac:dyDescent="0.2">
      <c r="A14" s="107" t="s">
        <v>78</v>
      </c>
      <c r="B14" s="108">
        <v>0.8</v>
      </c>
      <c r="C14" s="13" t="s">
        <v>0</v>
      </c>
      <c r="D14" s="13" t="s">
        <v>79</v>
      </c>
      <c r="E14" s="13"/>
      <c r="F14" s="13"/>
      <c r="G14" s="13"/>
      <c r="H14" s="106"/>
    </row>
    <row r="15" spans="1:8" x14ac:dyDescent="0.2">
      <c r="A15" s="353" t="s">
        <v>576</v>
      </c>
      <c r="B15" s="197">
        <f>1/(B13*0.0000000001)</f>
        <v>20000</v>
      </c>
      <c r="C15" s="358" t="s">
        <v>208</v>
      </c>
      <c r="D15" s="13"/>
      <c r="E15" s="13"/>
      <c r="F15" s="13"/>
      <c r="G15" s="13"/>
      <c r="H15" s="106"/>
    </row>
    <row r="16" spans="1:8" x14ac:dyDescent="0.2">
      <c r="A16" s="445"/>
      <c r="B16" s="516"/>
      <c r="C16" s="358"/>
      <c r="D16" s="13"/>
      <c r="E16" s="13"/>
      <c r="F16" s="13"/>
      <c r="G16" s="13"/>
      <c r="H16" s="106"/>
    </row>
    <row r="17" spans="1:8" x14ac:dyDescent="0.2">
      <c r="A17" s="445" t="s">
        <v>695</v>
      </c>
      <c r="B17" s="517">
        <f>B38/Fsw*1000000000</f>
        <v>994.66666666666674</v>
      </c>
      <c r="C17" s="204" t="s">
        <v>147</v>
      </c>
      <c r="D17" s="13"/>
      <c r="E17" s="13"/>
      <c r="F17" s="13"/>
      <c r="G17" s="13"/>
      <c r="H17" s="106"/>
    </row>
    <row r="18" spans="1:8" x14ac:dyDescent="0.2">
      <c r="A18" s="353" t="s">
        <v>694</v>
      </c>
      <c r="B18" s="518">
        <f>B37/Fsw*1000000000</f>
        <v>1005.3333333333331</v>
      </c>
      <c r="C18" s="204" t="s">
        <v>147</v>
      </c>
      <c r="D18" s="13"/>
      <c r="E18" s="13"/>
      <c r="F18" s="13"/>
      <c r="G18" s="13"/>
      <c r="H18" s="106"/>
    </row>
    <row r="19" spans="1:8" ht="13.5" thickBot="1" x14ac:dyDescent="0.25">
      <c r="A19" s="109"/>
      <c r="B19" s="515"/>
      <c r="C19" s="110"/>
      <c r="D19" s="110"/>
      <c r="E19" s="110"/>
      <c r="F19" s="110"/>
      <c r="G19" s="110"/>
      <c r="H19" s="111"/>
    </row>
    <row r="20" spans="1:8" x14ac:dyDescent="0.2">
      <c r="A20" s="13"/>
      <c r="B20" s="13"/>
      <c r="C20" s="13"/>
      <c r="D20" s="13"/>
      <c r="E20" s="13"/>
      <c r="F20" s="13"/>
      <c r="G20" s="13"/>
      <c r="H20" s="13"/>
    </row>
    <row r="21" spans="1:8" x14ac:dyDescent="0.2">
      <c r="A21" s="13"/>
      <c r="B21" s="13"/>
      <c r="C21" s="13"/>
      <c r="D21" s="13"/>
      <c r="E21" s="13"/>
      <c r="F21" s="13"/>
      <c r="G21" s="13"/>
      <c r="H21" s="13"/>
    </row>
    <row r="22" spans="1:8" ht="16.5" thickBot="1" x14ac:dyDescent="0.3">
      <c r="A22" s="158" t="s">
        <v>112</v>
      </c>
      <c r="B22" s="13"/>
      <c r="C22" s="13"/>
      <c r="D22" s="13"/>
      <c r="E22" s="13"/>
      <c r="F22" s="13"/>
      <c r="G22" s="13"/>
      <c r="H22" s="13"/>
    </row>
    <row r="23" spans="1:8" x14ac:dyDescent="0.2">
      <c r="A23" s="161" t="s">
        <v>19</v>
      </c>
      <c r="B23" s="446">
        <f>Vout/Vin</f>
        <v>0.4916666666666667</v>
      </c>
      <c r="C23" s="112" t="s">
        <v>23</v>
      </c>
      <c r="D23" s="112" t="s">
        <v>17</v>
      </c>
      <c r="E23" s="112"/>
      <c r="F23" s="112"/>
      <c r="G23" s="112"/>
      <c r="H23" s="113">
        <v>1</v>
      </c>
    </row>
    <row r="24" spans="1:8" x14ac:dyDescent="0.2">
      <c r="A24" s="114" t="s">
        <v>20</v>
      </c>
      <c r="B24" s="448">
        <f>1-23:23</f>
        <v>0.5083333333333333</v>
      </c>
      <c r="C24" s="13" t="s">
        <v>23</v>
      </c>
      <c r="D24" s="13" t="s">
        <v>18</v>
      </c>
      <c r="E24" s="13"/>
      <c r="F24" s="13"/>
      <c r="G24" s="13"/>
      <c r="H24" s="106">
        <v>1</v>
      </c>
    </row>
    <row r="25" spans="1:8" x14ac:dyDescent="0.2">
      <c r="A25" s="449" t="s">
        <v>688</v>
      </c>
      <c r="B25" s="448">
        <f>Vout/Vinmin</f>
        <v>0.4916666666666667</v>
      </c>
      <c r="C25" s="13"/>
      <c r="D25" s="13"/>
      <c r="E25" s="13"/>
      <c r="F25" s="13"/>
      <c r="G25" s="13"/>
      <c r="H25" s="106"/>
    </row>
    <row r="26" spans="1:8" x14ac:dyDescent="0.2">
      <c r="A26" s="449" t="s">
        <v>689</v>
      </c>
      <c r="B26" s="448">
        <f>1-B25</f>
        <v>0.5083333333333333</v>
      </c>
      <c r="C26" s="13"/>
      <c r="D26" s="13"/>
      <c r="E26" s="13"/>
      <c r="F26" s="13"/>
      <c r="G26" s="13"/>
      <c r="H26" s="106"/>
    </row>
    <row r="27" spans="1:8" x14ac:dyDescent="0.2">
      <c r="A27" s="449" t="s">
        <v>580</v>
      </c>
      <c r="B27" s="448">
        <f>Vout/Vinmax</f>
        <v>0.4916666666666667</v>
      </c>
      <c r="C27" s="13"/>
      <c r="D27" s="13"/>
      <c r="E27" s="13"/>
      <c r="F27" s="13"/>
      <c r="G27" s="13"/>
      <c r="H27" s="106"/>
    </row>
    <row r="28" spans="1:8" x14ac:dyDescent="0.2">
      <c r="A28" s="449" t="s">
        <v>579</v>
      </c>
      <c r="B28" s="448">
        <f>1-B27</f>
        <v>0.5083333333333333</v>
      </c>
      <c r="C28" s="13"/>
      <c r="D28" s="13"/>
      <c r="E28" s="13"/>
      <c r="F28" s="13"/>
      <c r="G28" s="13"/>
      <c r="H28" s="106"/>
    </row>
    <row r="29" spans="1:8" x14ac:dyDescent="0.2">
      <c r="A29" s="449"/>
      <c r="B29" s="452"/>
      <c r="C29" s="13"/>
      <c r="D29" s="13"/>
      <c r="E29" s="13"/>
      <c r="F29" s="13"/>
      <c r="G29" s="13"/>
      <c r="H29" s="106"/>
    </row>
    <row r="30" spans="1:8" x14ac:dyDescent="0.2">
      <c r="A30" s="114" t="s">
        <v>31</v>
      </c>
      <c r="B30" s="413">
        <f>(Vin-Vout)*_Don1/(Fsw*Iout*0.333)</f>
        <v>1.8013013013013012E-6</v>
      </c>
      <c r="C30" s="13" t="s">
        <v>24</v>
      </c>
      <c r="D30" s="13" t="s">
        <v>421</v>
      </c>
      <c r="E30" s="13"/>
      <c r="F30" s="13"/>
      <c r="G30" s="13"/>
      <c r="H30" s="106">
        <v>1</v>
      </c>
    </row>
    <row r="31" spans="1:8" x14ac:dyDescent="0.2">
      <c r="A31" s="105" t="s">
        <v>32</v>
      </c>
      <c r="B31" s="135">
        <f>'Design Regulator'!E17/1000000</f>
        <v>1.5E-6</v>
      </c>
      <c r="C31" s="13" t="s">
        <v>24</v>
      </c>
      <c r="D31" s="204" t="s">
        <v>543</v>
      </c>
      <c r="E31" s="13"/>
      <c r="F31" s="13"/>
      <c r="G31" s="13"/>
      <c r="H31" s="106">
        <v>2</v>
      </c>
    </row>
    <row r="32" spans="1:8" x14ac:dyDescent="0.2">
      <c r="A32" s="105" t="s">
        <v>12</v>
      </c>
      <c r="B32" s="44">
        <f>'Design Regulator'!E18/1000</f>
        <v>5.0000000000000001E-3</v>
      </c>
      <c r="C32" s="358" t="s">
        <v>208</v>
      </c>
      <c r="D32" s="204" t="s">
        <v>419</v>
      </c>
      <c r="E32" s="13"/>
      <c r="F32" s="13"/>
      <c r="G32" s="13"/>
      <c r="H32" s="106">
        <v>1</v>
      </c>
    </row>
    <row r="33" spans="1:18" x14ac:dyDescent="0.2">
      <c r="A33" s="444"/>
      <c r="B33" s="53"/>
      <c r="C33" s="358"/>
      <c r="D33" s="204"/>
      <c r="E33" s="13"/>
      <c r="F33" s="13"/>
      <c r="G33" s="13"/>
      <c r="H33" s="106"/>
    </row>
    <row r="34" spans="1:18" x14ac:dyDescent="0.2">
      <c r="A34" s="353" t="s">
        <v>21</v>
      </c>
      <c r="B34" s="514">
        <f>(Vout+(Rdcr+RdsonBot)*Iout)/(Vin+(RdsonBot-RdsonTop)*Iout)</f>
        <v>0.49733333333333335</v>
      </c>
      <c r="C34" s="13"/>
      <c r="D34" s="133" t="s">
        <v>422</v>
      </c>
      <c r="E34" s="13"/>
      <c r="F34" s="13"/>
      <c r="G34" s="13"/>
      <c r="H34" s="106">
        <v>2</v>
      </c>
    </row>
    <row r="35" spans="1:18" x14ac:dyDescent="0.2">
      <c r="A35" s="353" t="s">
        <v>22</v>
      </c>
      <c r="B35" s="514">
        <f>1-_Don2</f>
        <v>0.5026666666666666</v>
      </c>
      <c r="C35" s="13"/>
      <c r="D35" s="133" t="s">
        <v>423</v>
      </c>
      <c r="E35" s="13"/>
      <c r="F35" s="13"/>
      <c r="G35" s="13"/>
      <c r="H35" s="106">
        <v>2</v>
      </c>
    </row>
    <row r="36" spans="1:18" x14ac:dyDescent="0.2">
      <c r="A36" s="445" t="s">
        <v>690</v>
      </c>
      <c r="B36" s="514">
        <f>(Vout+(Rdcr+RdsonBot)*Iout)/(Vinmin+(RdsonBot-RdsonTop)*Iout)</f>
        <v>0.49733333333333335</v>
      </c>
      <c r="C36" s="13"/>
      <c r="D36" s="13"/>
      <c r="E36" s="13"/>
      <c r="F36" s="13"/>
      <c r="G36" s="13"/>
      <c r="H36" s="106"/>
    </row>
    <row r="37" spans="1:18" x14ac:dyDescent="0.2">
      <c r="A37" s="445" t="s">
        <v>691</v>
      </c>
      <c r="B37" s="514">
        <f>1-B36</f>
        <v>0.5026666666666666</v>
      </c>
      <c r="C37" s="13"/>
      <c r="D37" s="13"/>
      <c r="E37" s="13"/>
      <c r="F37" s="13"/>
      <c r="G37" s="13"/>
      <c r="H37" s="106"/>
    </row>
    <row r="38" spans="1:18" x14ac:dyDescent="0.2">
      <c r="A38" s="445" t="s">
        <v>692</v>
      </c>
      <c r="B38" s="514">
        <f>(Vout+(Rdcr+RdsonBot)*Iout)/(Vinmax+(RdsonBot-RdsonTop)*Iout)</f>
        <v>0.49733333333333335</v>
      </c>
      <c r="C38" s="13"/>
      <c r="D38" s="13"/>
      <c r="E38" s="13"/>
      <c r="F38" s="13"/>
      <c r="G38" s="13"/>
      <c r="H38" s="106"/>
      <c r="L38" s="531" t="s">
        <v>741</v>
      </c>
      <c r="M38" s="532">
        <v>100</v>
      </c>
      <c r="N38" s="533">
        <v>1</v>
      </c>
    </row>
    <row r="39" spans="1:18" x14ac:dyDescent="0.2">
      <c r="A39" s="445" t="s">
        <v>693</v>
      </c>
      <c r="B39" s="514">
        <f>1-B38</f>
        <v>0.5026666666666666</v>
      </c>
      <c r="C39" s="13"/>
      <c r="D39" s="13"/>
      <c r="E39" s="13"/>
      <c r="F39" s="13"/>
      <c r="G39" s="13"/>
      <c r="H39" s="106"/>
      <c r="L39" s="531" t="s">
        <v>629</v>
      </c>
      <c r="M39" s="532">
        <v>47</v>
      </c>
      <c r="N39" s="533">
        <v>2</v>
      </c>
    </row>
    <row r="40" spans="1:18" x14ac:dyDescent="0.2">
      <c r="A40" s="449"/>
      <c r="B40" s="513"/>
      <c r="C40" s="13"/>
      <c r="D40" s="13"/>
      <c r="E40" s="13"/>
      <c r="F40" s="13"/>
      <c r="G40" s="13"/>
      <c r="H40" s="106"/>
      <c r="L40" s="531" t="s">
        <v>631</v>
      </c>
      <c r="M40" s="532">
        <v>22</v>
      </c>
      <c r="N40" s="533">
        <v>3</v>
      </c>
    </row>
    <row r="41" spans="1:18" x14ac:dyDescent="0.2">
      <c r="A41" s="105" t="s">
        <v>26</v>
      </c>
      <c r="B41" s="116">
        <f>'Design Regulator'!E30/1000</f>
        <v>0.05</v>
      </c>
      <c r="C41" s="13" t="s">
        <v>0</v>
      </c>
      <c r="D41" s="13" t="s">
        <v>27</v>
      </c>
      <c r="E41" s="13"/>
      <c r="F41" s="13"/>
      <c r="G41" s="13"/>
      <c r="H41" s="106">
        <v>1</v>
      </c>
      <c r="L41" s="531" t="s">
        <v>633</v>
      </c>
      <c r="M41" s="532">
        <v>22</v>
      </c>
      <c r="N41" s="533">
        <v>4</v>
      </c>
    </row>
    <row r="42" spans="1:18" x14ac:dyDescent="0.2">
      <c r="A42" s="117" t="s">
        <v>33</v>
      </c>
      <c r="B42" s="447">
        <f>(Vin-Vout)*_Don2/(Fsw*Lout2)</f>
        <v>8.0899555555555551</v>
      </c>
      <c r="C42" s="13" t="s">
        <v>2</v>
      </c>
      <c r="D42" s="204" t="s">
        <v>544</v>
      </c>
      <c r="E42" s="13"/>
      <c r="F42" s="13"/>
      <c r="G42" s="13"/>
      <c r="H42" s="106">
        <v>1</v>
      </c>
      <c r="L42" s="486" t="s">
        <v>658</v>
      </c>
      <c r="M42" s="532">
        <v>10</v>
      </c>
      <c r="N42" s="533">
        <v>5</v>
      </c>
    </row>
    <row r="43" spans="1:18" x14ac:dyDescent="0.2">
      <c r="A43" s="117" t="s">
        <v>411</v>
      </c>
      <c r="B43" s="447">
        <f>Rdcr*(1+0.0039*(F43-25))</f>
        <v>6.4625000000000004E-3</v>
      </c>
      <c r="C43" s="53" t="s">
        <v>25</v>
      </c>
      <c r="D43" s="13"/>
      <c r="E43" s="13" t="s">
        <v>412</v>
      </c>
      <c r="F43" s="13">
        <v>100</v>
      </c>
      <c r="G43" s="13"/>
      <c r="H43" s="106"/>
      <c r="K43" s="13"/>
      <c r="L43" s="486" t="s">
        <v>659</v>
      </c>
      <c r="M43" s="566">
        <v>4.7</v>
      </c>
      <c r="N43" s="533">
        <v>6</v>
      </c>
    </row>
    <row r="44" spans="1:18" ht="13.5" thickBot="1" x14ac:dyDescent="0.25">
      <c r="A44" s="118" t="s">
        <v>356</v>
      </c>
      <c r="B44" s="119">
        <f>Lout2/Rdcr</f>
        <v>3.0000000000000003E-4</v>
      </c>
      <c r="C44" s="110" t="s">
        <v>265</v>
      </c>
      <c r="D44" s="110" t="s">
        <v>357</v>
      </c>
      <c r="E44" s="110"/>
      <c r="F44" s="110"/>
      <c r="G44" s="110"/>
      <c r="H44" s="111"/>
      <c r="L44" s="534" t="s">
        <v>715</v>
      </c>
      <c r="M44" s="535" t="str">
        <f>CHOOSE(N44,"100", "47","22","22","10", "4.7")</f>
        <v>22</v>
      </c>
      <c r="N44" s="438">
        <f>IF(Vout&lt;5, 1, IF(Vout&lt;=8, 2, IF(Vout&lt;=12, 3, IF(Vout&lt;=20, 4, IF(Vout&lt;=42, 5, 6)))))</f>
        <v>3</v>
      </c>
      <c r="Q44" s="490" t="s">
        <v>716</v>
      </c>
      <c r="R44" s="436">
        <v>1</v>
      </c>
    </row>
    <row r="45" spans="1:18" x14ac:dyDescent="0.2">
      <c r="A45" s="133"/>
      <c r="B45" s="132"/>
      <c r="C45" s="13"/>
      <c r="D45" s="13"/>
      <c r="E45" s="13"/>
      <c r="F45" s="13"/>
      <c r="G45" s="13"/>
      <c r="H45" s="13"/>
      <c r="Q45" s="490" t="s">
        <v>717</v>
      </c>
      <c r="R45" s="436">
        <v>2</v>
      </c>
    </row>
    <row r="46" spans="1:18" ht="16.5" thickBot="1" x14ac:dyDescent="0.3">
      <c r="A46" s="158" t="s">
        <v>275</v>
      </c>
      <c r="B46" s="132"/>
      <c r="C46" s="13"/>
      <c r="D46" s="13"/>
      <c r="E46" s="13"/>
      <c r="F46" s="13"/>
      <c r="G46" s="13"/>
      <c r="H46" s="13"/>
    </row>
    <row r="47" spans="1:18" x14ac:dyDescent="0.2">
      <c r="A47" s="162"/>
      <c r="B47" s="163"/>
      <c r="C47" s="112"/>
      <c r="D47" s="112"/>
      <c r="E47" s="112"/>
      <c r="F47" s="112"/>
      <c r="G47" s="112"/>
      <c r="H47" s="113"/>
    </row>
    <row r="48" spans="1:18" x14ac:dyDescent="0.2">
      <c r="A48" s="117"/>
      <c r="B48" s="196"/>
      <c r="C48" s="13"/>
      <c r="D48" s="13"/>
      <c r="E48" s="13"/>
      <c r="F48" s="13"/>
      <c r="G48" s="13"/>
      <c r="H48" s="106"/>
      <c r="L48" s="490" t="s">
        <v>683</v>
      </c>
      <c r="M48" s="436">
        <v>1</v>
      </c>
      <c r="N48" s="490" t="s">
        <v>680</v>
      </c>
      <c r="O48" s="77">
        <v>30</v>
      </c>
    </row>
    <row r="49" spans="1:19" x14ac:dyDescent="0.2">
      <c r="A49" s="117" t="s">
        <v>612</v>
      </c>
      <c r="B49" s="196">
        <f>'Design Regulator'!E24</f>
        <v>25</v>
      </c>
      <c r="C49" s="13"/>
      <c r="D49" s="13"/>
      <c r="E49" s="13"/>
      <c r="F49" s="13"/>
      <c r="G49" s="13"/>
      <c r="H49" s="106"/>
      <c r="L49" s="490" t="s">
        <v>684</v>
      </c>
      <c r="M49" s="436">
        <v>2</v>
      </c>
      <c r="N49" s="490" t="s">
        <v>681</v>
      </c>
      <c r="O49" s="77">
        <v>10.9</v>
      </c>
    </row>
    <row r="50" spans="1:19" x14ac:dyDescent="0.2">
      <c r="A50" s="105" t="s">
        <v>273</v>
      </c>
      <c r="B50" s="442">
        <f>'Design Regulator'!E24-Iripple1/2</f>
        <v>20.955022222222222</v>
      </c>
      <c r="C50" s="13" t="s">
        <v>2</v>
      </c>
      <c r="D50" s="204" t="s">
        <v>583</v>
      </c>
      <c r="E50" s="13"/>
      <c r="F50" s="13"/>
      <c r="G50" s="13"/>
      <c r="H50" s="106"/>
      <c r="L50" s="490" t="s">
        <v>685</v>
      </c>
      <c r="M50" s="436">
        <v>3</v>
      </c>
      <c r="N50" s="490" t="s">
        <v>687</v>
      </c>
      <c r="O50" s="77">
        <v>66</v>
      </c>
    </row>
    <row r="51" spans="1:19" x14ac:dyDescent="0.2">
      <c r="A51" s="445" t="s">
        <v>607</v>
      </c>
      <c r="B51" s="451">
        <f>ROUND('Design Regulator'!E24+Iripple1/2,0)*1.2</f>
        <v>34.799999999999997</v>
      </c>
      <c r="C51" s="204" t="s">
        <v>2</v>
      </c>
      <c r="D51" s="204"/>
      <c r="E51" s="13"/>
      <c r="F51" s="13"/>
      <c r="G51" s="13"/>
      <c r="H51" s="106"/>
      <c r="L51" s="490" t="s">
        <v>686</v>
      </c>
      <c r="M51" s="436">
        <v>4</v>
      </c>
      <c r="N51" s="490" t="s">
        <v>682</v>
      </c>
      <c r="O51" s="77">
        <v>150</v>
      </c>
    </row>
    <row r="52" spans="1:19" x14ac:dyDescent="0.2">
      <c r="A52" s="445"/>
      <c r="B52" s="457"/>
      <c r="C52" s="204"/>
      <c r="D52" s="204"/>
      <c r="E52" s="13"/>
      <c r="F52" s="13"/>
      <c r="G52" s="13"/>
      <c r="H52" s="106"/>
      <c r="K52" s="487" t="s">
        <v>662</v>
      </c>
      <c r="L52" s="488" t="str">
        <f>CHOOSE(M52, L48, L49, L50, L51)</f>
        <v>SON 5 x 6</v>
      </c>
      <c r="M52" s="438">
        <v>1</v>
      </c>
    </row>
    <row r="53" spans="1:19" x14ac:dyDescent="0.2">
      <c r="A53" s="353" t="s">
        <v>592</v>
      </c>
      <c r="B53" s="120">
        <v>2.0000000000000001E-4</v>
      </c>
      <c r="C53" s="13" t="s">
        <v>2</v>
      </c>
      <c r="D53" s="204" t="s">
        <v>584</v>
      </c>
      <c r="E53" s="13"/>
      <c r="F53" s="13"/>
      <c r="G53" s="13"/>
      <c r="H53" s="106"/>
    </row>
    <row r="54" spans="1:19" ht="15.75" x14ac:dyDescent="0.3">
      <c r="A54" s="445" t="s">
        <v>593</v>
      </c>
      <c r="B54" s="120">
        <v>1E-4</v>
      </c>
      <c r="C54" s="13" t="s">
        <v>2</v>
      </c>
      <c r="D54" s="204" t="s">
        <v>585</v>
      </c>
      <c r="E54" s="13"/>
      <c r="F54" s="13"/>
      <c r="G54" s="13"/>
      <c r="H54" s="106"/>
      <c r="L54" s="204" t="s">
        <v>603</v>
      </c>
      <c r="M54" s="436">
        <v>1</v>
      </c>
    </row>
    <row r="55" spans="1:19" x14ac:dyDescent="0.2">
      <c r="A55" s="353" t="s">
        <v>594</v>
      </c>
      <c r="B55" s="443">
        <f>ILimit*RdsonBot/Ilim1</f>
        <v>188.59520000000001</v>
      </c>
      <c r="C55" s="358" t="s">
        <v>208</v>
      </c>
      <c r="D55" s="204" t="s">
        <v>588</v>
      </c>
      <c r="E55" s="13"/>
      <c r="F55" s="13"/>
      <c r="G55" s="13"/>
      <c r="H55" s="106"/>
      <c r="L55" s="204" t="s">
        <v>604</v>
      </c>
      <c r="M55" s="436">
        <v>2</v>
      </c>
    </row>
    <row r="56" spans="1:19" x14ac:dyDescent="0.2">
      <c r="A56" s="353" t="s">
        <v>595</v>
      </c>
      <c r="B56" s="122">
        <f>'Standard Value Calculator'!S6</f>
        <v>187</v>
      </c>
      <c r="C56" s="358" t="s">
        <v>208</v>
      </c>
      <c r="D56" s="204" t="s">
        <v>587</v>
      </c>
      <c r="E56" s="13"/>
      <c r="F56" s="13"/>
      <c r="G56" s="13"/>
      <c r="H56" s="106"/>
      <c r="K56" s="487" t="s">
        <v>661</v>
      </c>
      <c r="L56" s="437" t="str">
        <f>CHOOSE(RDSON_sense, L54,L55)</f>
        <v>RDS(on) sensing</v>
      </c>
      <c r="M56" s="438">
        <v>1</v>
      </c>
      <c r="N56" s="203" t="s">
        <v>575</v>
      </c>
    </row>
    <row r="57" spans="1:19" x14ac:dyDescent="0.2">
      <c r="D57" s="13"/>
      <c r="E57" s="13"/>
      <c r="F57" s="13"/>
      <c r="G57" s="13"/>
      <c r="H57" s="106"/>
      <c r="L57" s="438"/>
      <c r="M57" s="203"/>
    </row>
    <row r="58" spans="1:19" x14ac:dyDescent="0.2">
      <c r="A58" s="445" t="s">
        <v>586</v>
      </c>
      <c r="B58" s="450">
        <f>'Design Regulator'!E23/1000</f>
        <v>2E-3</v>
      </c>
      <c r="C58" s="358" t="s">
        <v>208</v>
      </c>
      <c r="D58" s="13"/>
      <c r="E58" s="13"/>
      <c r="F58" s="13"/>
      <c r="G58" s="13"/>
      <c r="H58" s="106"/>
      <c r="J58" s="437"/>
      <c r="L58" s="438"/>
      <c r="M58" s="203"/>
    </row>
    <row r="59" spans="1:19" x14ac:dyDescent="0.2">
      <c r="A59" s="445" t="s">
        <v>591</v>
      </c>
      <c r="B59" s="122">
        <f>ILimit*Rshunt/Ilim2</f>
        <v>419.10044444444446</v>
      </c>
      <c r="C59" s="358" t="s">
        <v>208</v>
      </c>
      <c r="D59" s="13"/>
      <c r="E59" s="13"/>
      <c r="F59" s="13"/>
      <c r="G59" s="13"/>
      <c r="H59" s="106"/>
      <c r="K59" s="486" t="s">
        <v>741</v>
      </c>
      <c r="L59" s="2" t="s">
        <v>628</v>
      </c>
      <c r="M59" s="436">
        <v>1</v>
      </c>
      <c r="Q59" s="486"/>
      <c r="R59" s="2"/>
      <c r="S59" s="436"/>
    </row>
    <row r="60" spans="1:19" x14ac:dyDescent="0.2">
      <c r="A60" s="353" t="s">
        <v>596</v>
      </c>
      <c r="B60" s="123">
        <f>'Standard Value Calculator'!S22</f>
        <v>422</v>
      </c>
      <c r="C60" s="358" t="s">
        <v>208</v>
      </c>
      <c r="D60" s="204" t="s">
        <v>587</v>
      </c>
      <c r="E60" s="13"/>
      <c r="F60" s="13"/>
      <c r="G60" s="13"/>
      <c r="H60" s="106"/>
      <c r="K60" s="486" t="s">
        <v>629</v>
      </c>
      <c r="L60" s="2" t="s">
        <v>630</v>
      </c>
      <c r="M60" s="436">
        <v>2</v>
      </c>
      <c r="Q60" s="486" t="s">
        <v>670</v>
      </c>
      <c r="R60" s="2" t="s">
        <v>630</v>
      </c>
      <c r="S60" s="436">
        <v>1</v>
      </c>
    </row>
    <row r="61" spans="1:19" x14ac:dyDescent="0.2">
      <c r="A61" s="445"/>
      <c r="B61" s="123"/>
      <c r="C61" s="358"/>
      <c r="D61" s="204"/>
      <c r="E61" s="13"/>
      <c r="F61" s="13"/>
      <c r="G61" s="13"/>
      <c r="H61" s="106"/>
      <c r="K61" s="486" t="s">
        <v>631</v>
      </c>
      <c r="L61" s="2" t="s">
        <v>632</v>
      </c>
      <c r="M61" s="436">
        <v>3</v>
      </c>
      <c r="Q61" s="486" t="s">
        <v>671</v>
      </c>
      <c r="R61" s="2" t="s">
        <v>632</v>
      </c>
      <c r="S61" s="436">
        <v>2</v>
      </c>
    </row>
    <row r="62" spans="1:19" x14ac:dyDescent="0.2">
      <c r="A62" s="353" t="s">
        <v>590</v>
      </c>
      <c r="B62" s="450">
        <f>ROUND(((1-Don_Vinmax)*Iout)^2*Rshunt,2)</f>
        <v>0.21</v>
      </c>
      <c r="C62" s="354" t="s">
        <v>208</v>
      </c>
      <c r="D62" s="13"/>
      <c r="E62" s="13"/>
      <c r="F62" s="13"/>
      <c r="G62" s="13"/>
      <c r="H62" s="106"/>
      <c r="K62" s="486" t="s">
        <v>633</v>
      </c>
      <c r="L62" s="2" t="s">
        <v>634</v>
      </c>
      <c r="M62" s="436">
        <v>4</v>
      </c>
      <c r="Q62" s="486" t="s">
        <v>672</v>
      </c>
      <c r="R62" s="2" t="s">
        <v>634</v>
      </c>
      <c r="S62" s="436">
        <v>3</v>
      </c>
    </row>
    <row r="63" spans="1:19" x14ac:dyDescent="0.2">
      <c r="A63" s="445"/>
      <c r="B63" s="450"/>
      <c r="C63" s="354"/>
      <c r="D63" s="13"/>
      <c r="E63" s="13"/>
      <c r="F63" s="13"/>
      <c r="G63" s="13"/>
      <c r="H63" s="106"/>
      <c r="K63" s="486"/>
      <c r="L63" s="2"/>
      <c r="M63" s="436"/>
      <c r="Q63" s="486"/>
      <c r="R63" s="2"/>
      <c r="S63" s="436"/>
    </row>
    <row r="64" spans="1:19" x14ac:dyDescent="0.2">
      <c r="A64" s="105" t="s">
        <v>701</v>
      </c>
      <c r="B64" s="528">
        <f>0.000000006/Rilim_Rdson_ideal - 0.000000000002</f>
        <v>2.9814171304465863E-11</v>
      </c>
      <c r="C64" s="354" t="s">
        <v>34</v>
      </c>
      <c r="D64" s="13" t="s">
        <v>705</v>
      </c>
      <c r="E64" s="13"/>
      <c r="F64" s="13"/>
      <c r="G64" s="13"/>
      <c r="H64" s="106"/>
      <c r="K64" s="486" t="s">
        <v>658</v>
      </c>
      <c r="L64" s="2" t="s">
        <v>635</v>
      </c>
      <c r="M64" s="436">
        <v>5</v>
      </c>
      <c r="Q64" s="486" t="s">
        <v>673</v>
      </c>
      <c r="R64" s="2" t="s">
        <v>635</v>
      </c>
      <c r="S64" s="436">
        <v>4</v>
      </c>
    </row>
    <row r="65" spans="1:19" x14ac:dyDescent="0.2">
      <c r="A65" s="105" t="s">
        <v>702</v>
      </c>
      <c r="B65" s="122">
        <f>'Standard Value Calculator'!S23</f>
        <v>27</v>
      </c>
      <c r="C65" s="354" t="s">
        <v>53</v>
      </c>
      <c r="D65" s="13"/>
      <c r="E65" s="13"/>
      <c r="F65" s="13"/>
      <c r="G65" s="13"/>
      <c r="H65" s="106"/>
      <c r="K65" s="486" t="s">
        <v>659</v>
      </c>
      <c r="L65" s="2" t="s">
        <v>660</v>
      </c>
      <c r="M65" s="436">
        <v>6</v>
      </c>
      <c r="Q65" s="486" t="s">
        <v>674</v>
      </c>
      <c r="R65" s="2" t="s">
        <v>660</v>
      </c>
      <c r="S65" s="436">
        <v>5</v>
      </c>
    </row>
    <row r="66" spans="1:19" ht="13.5" thickBot="1" x14ac:dyDescent="0.25">
      <c r="A66" s="109" t="s">
        <v>289</v>
      </c>
      <c r="B66" s="125" t="e">
        <f>Ics*Rset/Rdcr-Iripple1/2</f>
        <v>#NAME?</v>
      </c>
      <c r="C66" s="110" t="s">
        <v>2</v>
      </c>
      <c r="D66" s="209" t="s">
        <v>480</v>
      </c>
      <c r="E66" s="110"/>
      <c r="F66" s="110"/>
      <c r="G66" s="110"/>
      <c r="H66" s="111"/>
      <c r="K66" s="487" t="s">
        <v>636</v>
      </c>
      <c r="L66" s="488" t="str">
        <f>CHOOSE(M66,"6.3V","10V","16V","25V","50V","100V")</f>
        <v>16V</v>
      </c>
      <c r="M66" s="438">
        <f>IF(Vout&lt;5, 1, IF(Vout&lt;=8, 2, IF(Vout&lt;=12, 3, IF(Vout&lt;=20, 4,  IF(Vout&lt;=42, 5, 6)))))</f>
        <v>3</v>
      </c>
      <c r="Q66" s="487" t="s">
        <v>669</v>
      </c>
      <c r="R66" s="488" t="str">
        <f>CHOOSE(S66,"10V","16V","25V","50V","100V")</f>
        <v>50V</v>
      </c>
      <c r="S66" s="438">
        <f>IF(Vinmax&lt;=8,1,IF(Vinmax&lt;=12,2,IF(Vinmax&lt;=20,3,IF(Vinmax&lt;=42,4,5))))</f>
        <v>4</v>
      </c>
    </row>
    <row r="68" spans="1:19" ht="16.5" thickBot="1" x14ac:dyDescent="0.3">
      <c r="A68" s="158" t="s">
        <v>276</v>
      </c>
      <c r="B68" s="13"/>
      <c r="C68" s="13"/>
      <c r="D68" s="13"/>
      <c r="E68" s="13"/>
      <c r="F68" s="13"/>
      <c r="G68" s="13"/>
      <c r="H68" s="13"/>
    </row>
    <row r="69" spans="1:19" x14ac:dyDescent="0.2">
      <c r="A69" s="160" t="s">
        <v>284</v>
      </c>
      <c r="B69" s="509">
        <f>Iripple1/SQRT(3)/2</f>
        <v>2.3353690088660541</v>
      </c>
      <c r="C69" s="207" t="s">
        <v>2</v>
      </c>
      <c r="D69" s="207" t="s">
        <v>481</v>
      </c>
      <c r="E69" s="112"/>
      <c r="F69" s="112"/>
      <c r="G69" s="112"/>
      <c r="H69" s="113"/>
      <c r="L69" s="489" t="s">
        <v>637</v>
      </c>
      <c r="M69" s="436">
        <v>1</v>
      </c>
      <c r="N69" s="203" t="s">
        <v>638</v>
      </c>
      <c r="O69" s="77">
        <v>0.5</v>
      </c>
    </row>
    <row r="70" spans="1:19" x14ac:dyDescent="0.2">
      <c r="A70" s="114" t="s">
        <v>29</v>
      </c>
      <c r="B70" s="115">
        <f>(Iripple1/(Vripple1*Fsw*8))</f>
        <v>4.0449777777777776E-5</v>
      </c>
      <c r="C70" s="13" t="s">
        <v>34</v>
      </c>
      <c r="D70" s="13" t="s">
        <v>28</v>
      </c>
      <c r="E70" s="13"/>
      <c r="F70" s="13"/>
      <c r="G70" s="13"/>
      <c r="H70" s="106">
        <v>1</v>
      </c>
      <c r="L70" s="489" t="s">
        <v>501</v>
      </c>
      <c r="M70" s="436">
        <v>2</v>
      </c>
      <c r="N70" s="203" t="s">
        <v>639</v>
      </c>
      <c r="O70" s="77">
        <v>1.3</v>
      </c>
    </row>
    <row r="71" spans="1:19" x14ac:dyDescent="0.2">
      <c r="A71" s="105" t="s">
        <v>36</v>
      </c>
      <c r="B71" s="44">
        <f>'Design Regulator'!E32/1000000</f>
        <v>3.3E-3</v>
      </c>
      <c r="C71" s="13" t="s">
        <v>34</v>
      </c>
      <c r="D71" s="13" t="s">
        <v>35</v>
      </c>
      <c r="E71" s="13"/>
      <c r="F71" s="13"/>
      <c r="G71" s="13"/>
      <c r="H71" s="106">
        <v>1</v>
      </c>
      <c r="L71" s="489" t="s">
        <v>640</v>
      </c>
      <c r="M71" s="436">
        <v>3</v>
      </c>
      <c r="N71" s="203" t="s">
        <v>641</v>
      </c>
      <c r="O71" s="77">
        <v>2.5</v>
      </c>
    </row>
    <row r="72" spans="1:19" x14ac:dyDescent="0.2">
      <c r="A72" s="114" t="s">
        <v>114</v>
      </c>
      <c r="B72" s="448">
        <f>SQRT((Vripple1/Iripple1)^2-(1/(Fsw*Cout*8))^2)</f>
        <v>6.1800393528433093E-3</v>
      </c>
      <c r="C72" s="358" t="s">
        <v>208</v>
      </c>
      <c r="D72" s="204" t="s">
        <v>482</v>
      </c>
      <c r="E72" s="13"/>
      <c r="F72" s="13"/>
      <c r="G72" s="13"/>
      <c r="H72" s="106">
        <v>1</v>
      </c>
      <c r="L72" s="489" t="s">
        <v>642</v>
      </c>
      <c r="M72" s="436">
        <v>4</v>
      </c>
      <c r="N72" s="203" t="s">
        <v>643</v>
      </c>
      <c r="O72" s="77">
        <v>5.0999999999999996</v>
      </c>
    </row>
    <row r="73" spans="1:19" x14ac:dyDescent="0.2">
      <c r="A73" s="105" t="s">
        <v>272</v>
      </c>
      <c r="B73" s="108">
        <f>'Design Regulator'!E34/1000</f>
        <v>3.0000000000000001E-3</v>
      </c>
      <c r="C73" s="358" t="s">
        <v>208</v>
      </c>
      <c r="D73" s="204" t="s">
        <v>483</v>
      </c>
      <c r="E73" s="13"/>
      <c r="F73" s="13"/>
      <c r="G73" s="13"/>
      <c r="H73" s="106">
        <v>1</v>
      </c>
      <c r="L73" s="489" t="s">
        <v>644</v>
      </c>
      <c r="M73" s="436">
        <v>5</v>
      </c>
      <c r="N73" s="203" t="s">
        <v>645</v>
      </c>
      <c r="O73" s="77">
        <v>8</v>
      </c>
    </row>
    <row r="74" spans="1:19" ht="13.5" thickBot="1" x14ac:dyDescent="0.25">
      <c r="A74" s="126" t="s">
        <v>363</v>
      </c>
      <c r="B74" s="508">
        <f>Iripple1*SQRT(CoutEsr^2+(1/(8*Fsw*Cout))^2)</f>
        <v>2.4277603759417669E-2</v>
      </c>
      <c r="C74" s="188" t="s">
        <v>75</v>
      </c>
      <c r="D74" s="110"/>
      <c r="E74" s="110"/>
      <c r="F74" s="110"/>
      <c r="G74" s="110"/>
      <c r="H74" s="111"/>
      <c r="K74" s="487" t="s">
        <v>646</v>
      </c>
      <c r="L74" s="488" t="str">
        <f>CHOOSE(M74,"0402","0603","0805","1206","1210")</f>
        <v>1210</v>
      </c>
      <c r="M74" s="438">
        <v>5</v>
      </c>
      <c r="N74" s="488" t="str">
        <f>CHOOSE(M74,N69,N70, N71,N72,N73)</f>
        <v>3.2 x 2.5</v>
      </c>
    </row>
    <row r="76" spans="1:19" ht="13.5" thickBot="1" x14ac:dyDescent="0.25">
      <c r="A76" s="13"/>
      <c r="B76" s="13"/>
      <c r="C76" s="13"/>
      <c r="D76" s="13"/>
      <c r="E76" s="13"/>
      <c r="F76" s="13"/>
      <c r="G76" s="13"/>
      <c r="H76" s="13"/>
    </row>
    <row r="77" spans="1:19" ht="15.75" x14ac:dyDescent="0.25">
      <c r="A77" s="174" t="s">
        <v>277</v>
      </c>
      <c r="B77" s="175"/>
      <c r="C77" s="175"/>
      <c r="D77" s="175"/>
      <c r="E77" s="175"/>
      <c r="F77" s="175"/>
      <c r="G77" s="175"/>
      <c r="H77" s="176"/>
    </row>
    <row r="78" spans="1:19" x14ac:dyDescent="0.2">
      <c r="A78" s="177" t="s">
        <v>416</v>
      </c>
      <c r="B78" s="131">
        <f>'Design Regulator'!E39/1000</f>
        <v>0.5</v>
      </c>
      <c r="C78" s="173" t="s">
        <v>75</v>
      </c>
      <c r="D78" s="13"/>
      <c r="E78" s="13"/>
      <c r="F78" s="13"/>
      <c r="G78" s="13"/>
      <c r="H78" s="178"/>
      <c r="L78" s="203" t="s">
        <v>647</v>
      </c>
      <c r="M78" s="436">
        <v>1</v>
      </c>
      <c r="N78" s="490" t="s">
        <v>648</v>
      </c>
      <c r="O78" s="77">
        <v>9</v>
      </c>
    </row>
    <row r="79" spans="1:19" x14ac:dyDescent="0.2">
      <c r="A79" s="179" t="s">
        <v>283</v>
      </c>
      <c r="B79" s="199">
        <f>Iout*SQRT(_Don2*Doff2)</f>
        <v>9.9998577767664045</v>
      </c>
      <c r="C79" s="171" t="s">
        <v>2</v>
      </c>
      <c r="D79" s="13"/>
      <c r="E79" s="13"/>
      <c r="F79" s="13"/>
      <c r="G79" s="13"/>
      <c r="H79" s="178"/>
      <c r="L79" s="203" t="s">
        <v>649</v>
      </c>
      <c r="M79" s="436">
        <v>2</v>
      </c>
      <c r="N79" s="490" t="s">
        <v>650</v>
      </c>
      <c r="O79" s="77">
        <v>16</v>
      </c>
    </row>
    <row r="80" spans="1:19" x14ac:dyDescent="0.2">
      <c r="A80" s="179" t="s">
        <v>415</v>
      </c>
      <c r="B80" s="185">
        <f>Iout*_Don2*(1-_Don2)/(Vinripple1*Fsw)</f>
        <v>1.9999431111111111E-5</v>
      </c>
      <c r="C80" s="171" t="s">
        <v>34</v>
      </c>
      <c r="D80" s="13"/>
      <c r="E80" s="13"/>
      <c r="F80" s="13"/>
      <c r="G80" s="13"/>
      <c r="H80" s="178"/>
      <c r="L80" s="203" t="s">
        <v>651</v>
      </c>
      <c r="M80" s="436">
        <v>3</v>
      </c>
      <c r="N80" s="490" t="s">
        <v>652</v>
      </c>
      <c r="O80" s="77">
        <v>25</v>
      </c>
    </row>
    <row r="81" spans="1:15" x14ac:dyDescent="0.2">
      <c r="A81" s="179" t="s">
        <v>127</v>
      </c>
      <c r="B81" s="172">
        <f>'Design Regulator'!E41/1000000</f>
        <v>6.6E-4</v>
      </c>
      <c r="C81" s="171" t="s">
        <v>34</v>
      </c>
      <c r="D81" s="13" t="s">
        <v>287</v>
      </c>
      <c r="E81" s="13"/>
      <c r="F81" s="13"/>
      <c r="G81" s="13"/>
      <c r="H81" s="178"/>
      <c r="L81" s="203" t="s">
        <v>653</v>
      </c>
      <c r="M81" s="436">
        <v>4</v>
      </c>
      <c r="N81" s="490" t="s">
        <v>654</v>
      </c>
      <c r="O81" s="77">
        <v>36</v>
      </c>
    </row>
    <row r="82" spans="1:15" x14ac:dyDescent="0.2">
      <c r="A82" s="180" t="s">
        <v>417</v>
      </c>
      <c r="B82" s="186">
        <f>-(Iout*_Don2*(1-_Don2)/(Cin*Fsw)-Vinripple1)/(Iout+Iripple1/2)</f>
        <v>2.0164248863353506E-2</v>
      </c>
      <c r="C82" s="358" t="s">
        <v>208</v>
      </c>
      <c r="D82" s="13"/>
      <c r="E82" s="13"/>
      <c r="F82" s="13"/>
      <c r="G82" s="13"/>
      <c r="H82" s="178"/>
      <c r="L82" s="203" t="s">
        <v>655</v>
      </c>
      <c r="M82" s="436">
        <v>5</v>
      </c>
      <c r="N82" s="490" t="s">
        <v>656</v>
      </c>
      <c r="O82" s="77">
        <v>49</v>
      </c>
    </row>
    <row r="83" spans="1:15" x14ac:dyDescent="0.2">
      <c r="A83" s="179" t="s">
        <v>159</v>
      </c>
      <c r="B83" s="172">
        <f>'Design Regulator'!E43/1000</f>
        <v>0.01</v>
      </c>
      <c r="C83" s="358" t="s">
        <v>208</v>
      </c>
      <c r="D83" s="204" t="s">
        <v>484</v>
      </c>
      <c r="E83" s="13"/>
      <c r="F83" s="13"/>
      <c r="G83" s="13"/>
      <c r="H83" s="178"/>
      <c r="L83" s="203" t="s">
        <v>663</v>
      </c>
      <c r="M83" s="436">
        <v>6</v>
      </c>
      <c r="N83" s="490" t="s">
        <v>664</v>
      </c>
      <c r="O83" s="77">
        <v>64</v>
      </c>
    </row>
    <row r="84" spans="1:15" x14ac:dyDescent="0.2">
      <c r="A84" s="179" t="s">
        <v>418</v>
      </c>
      <c r="B84" s="200">
        <f>Iout*_Don2*(1-_Don2)/(Cin*Fsw)+(Iout +Iripple1/2)*RCinEsr</f>
        <v>0.25560086195286197</v>
      </c>
      <c r="C84" s="171" t="s">
        <v>75</v>
      </c>
      <c r="D84" s="13"/>
      <c r="E84" s="13"/>
      <c r="F84" s="13"/>
      <c r="G84" s="13"/>
      <c r="H84" s="178"/>
      <c r="L84" s="203" t="s">
        <v>665</v>
      </c>
      <c r="M84" s="436">
        <v>7</v>
      </c>
      <c r="N84" s="490" t="s">
        <v>666</v>
      </c>
      <c r="O84" s="77">
        <v>100</v>
      </c>
    </row>
    <row r="85" spans="1:15" ht="13.5" thickBot="1" x14ac:dyDescent="0.25">
      <c r="A85" s="181"/>
      <c r="B85" s="187">
        <f>Iout*_Don1*(1-_Don1)/(Cin*Fsw)</f>
        <v>1.5147306397306397E-2</v>
      </c>
      <c r="C85" s="182"/>
      <c r="D85" s="183"/>
      <c r="E85" s="183"/>
      <c r="F85" s="183"/>
      <c r="G85" s="183"/>
      <c r="H85" s="184"/>
      <c r="L85" s="203" t="s">
        <v>667</v>
      </c>
      <c r="M85" s="436">
        <v>8</v>
      </c>
      <c r="N85" s="490" t="s">
        <v>668</v>
      </c>
      <c r="O85" s="77">
        <v>144</v>
      </c>
    </row>
    <row r="86" spans="1:15" x14ac:dyDescent="0.2">
      <c r="A86" s="13"/>
      <c r="B86" s="13"/>
      <c r="C86" s="13"/>
      <c r="D86" s="13"/>
      <c r="E86" s="13"/>
      <c r="F86" s="13"/>
      <c r="G86" s="13"/>
      <c r="H86" s="13"/>
      <c r="K86" s="487" t="s">
        <v>657</v>
      </c>
      <c r="L86" s="488" t="str">
        <f>CHOOSE(M86,L78,L79, L80, L81, L82, L83, L84, L85)</f>
        <v>12mm x 12mm</v>
      </c>
      <c r="M86" s="438">
        <v>8</v>
      </c>
      <c r="N86" s="488" t="str">
        <f>CHOOSE(M86,N78,N79, N80,N81,N82, N83, N84, N85)</f>
        <v>12.0 x 12.0</v>
      </c>
      <c r="O86" s="488"/>
    </row>
    <row r="87" spans="1:15" ht="16.5" thickBot="1" x14ac:dyDescent="0.3">
      <c r="A87" s="158" t="s">
        <v>290</v>
      </c>
      <c r="B87" s="13"/>
      <c r="C87" s="13"/>
      <c r="D87" s="13"/>
      <c r="E87" s="13"/>
      <c r="F87" s="13"/>
      <c r="G87" s="13"/>
      <c r="H87" s="13"/>
    </row>
    <row r="88" spans="1:15" x14ac:dyDescent="0.2">
      <c r="A88" s="160" t="s">
        <v>292</v>
      </c>
      <c r="B88" s="21">
        <f>'Design Regulator'!E48/1000</f>
        <v>1.7999999999999999E-2</v>
      </c>
      <c r="C88" s="112" t="s">
        <v>265</v>
      </c>
      <c r="D88" s="112" t="s">
        <v>293</v>
      </c>
      <c r="E88" s="112"/>
      <c r="F88" s="112"/>
      <c r="G88" s="112"/>
      <c r="H88" s="113"/>
    </row>
    <row r="89" spans="1:15" x14ac:dyDescent="0.2">
      <c r="A89" s="105" t="s">
        <v>294</v>
      </c>
      <c r="B89" s="121">
        <f>Cout*Vout/Tss</f>
        <v>2.1633333333333336</v>
      </c>
      <c r="C89" s="13" t="s">
        <v>2</v>
      </c>
      <c r="D89" s="204" t="s">
        <v>440</v>
      </c>
      <c r="E89" s="13"/>
      <c r="F89" s="13"/>
      <c r="G89" s="13"/>
      <c r="H89" s="106"/>
    </row>
    <row r="90" spans="1:15" x14ac:dyDescent="0.2">
      <c r="A90" s="105" t="s">
        <v>295</v>
      </c>
      <c r="B90" s="128">
        <f>0.00001*Tss/0.8</f>
        <v>2.2499999999999999E-7</v>
      </c>
      <c r="C90" s="13" t="s">
        <v>34</v>
      </c>
      <c r="D90" s="13"/>
      <c r="E90" s="13"/>
      <c r="F90" s="13"/>
      <c r="G90" s="13"/>
      <c r="H90" s="106"/>
    </row>
    <row r="91" spans="1:15" ht="13.5" thickBot="1" x14ac:dyDescent="0.25">
      <c r="A91" s="109" t="s">
        <v>311</v>
      </c>
      <c r="B91" s="127">
        <f>'Standard Value Calculator'!B4</f>
        <v>2.2000000000000001E-7</v>
      </c>
      <c r="C91" s="110" t="s">
        <v>34</v>
      </c>
      <c r="D91" s="110"/>
      <c r="E91" s="110"/>
      <c r="F91" s="110"/>
      <c r="G91" s="110"/>
      <c r="H91" s="111"/>
    </row>
    <row r="93" spans="1:15" ht="16.5" thickBot="1" x14ac:dyDescent="0.3">
      <c r="A93" s="158" t="s">
        <v>329</v>
      </c>
      <c r="B93" s="13"/>
      <c r="C93" s="13"/>
      <c r="D93" s="13"/>
      <c r="E93" s="13"/>
      <c r="F93" s="13"/>
      <c r="G93" s="13"/>
      <c r="H93" s="13"/>
    </row>
    <row r="94" spans="1:15" x14ac:dyDescent="0.2">
      <c r="A94" s="352"/>
      <c r="B94" s="164"/>
      <c r="C94" s="207"/>
      <c r="D94" s="112"/>
      <c r="E94" s="112"/>
      <c r="F94" s="112"/>
      <c r="G94" s="112"/>
      <c r="H94" s="113"/>
    </row>
    <row r="95" spans="1:15" ht="15.75" x14ac:dyDescent="0.3">
      <c r="A95" s="353" t="s">
        <v>486</v>
      </c>
      <c r="B95" s="129">
        <f>'Design Regulator'!E50</f>
        <v>21</v>
      </c>
      <c r="C95" s="354" t="s">
        <v>0</v>
      </c>
      <c r="D95" s="13"/>
      <c r="E95" s="13"/>
      <c r="F95" s="13"/>
      <c r="G95" s="13"/>
      <c r="H95" s="106"/>
    </row>
    <row r="96" spans="1:15" ht="15.75" x14ac:dyDescent="0.3">
      <c r="A96" s="353" t="s">
        <v>487</v>
      </c>
      <c r="B96" s="129">
        <f>'Design Regulator'!E51</f>
        <v>1</v>
      </c>
      <c r="C96" s="354" t="s">
        <v>0</v>
      </c>
      <c r="D96" s="13"/>
      <c r="E96" s="13"/>
      <c r="F96" s="13"/>
      <c r="G96" s="13"/>
      <c r="H96" s="106"/>
    </row>
    <row r="97" spans="1:8" ht="15.75" x14ac:dyDescent="0.3">
      <c r="A97" s="353" t="s">
        <v>516</v>
      </c>
      <c r="B97" s="77">
        <f>(VINuvlo_off-VINuvlo_on*Vuvlo_off/Vuvlo_on)/(Iuvlo1*Vuvlo_off/Vuvlo_on-Iuvlo2)</f>
        <v>2000</v>
      </c>
      <c r="C97" s="65" t="s">
        <v>493</v>
      </c>
      <c r="D97" s="13">
        <f>'Standard Value Calculator'!S16</f>
        <v>2000</v>
      </c>
      <c r="E97" s="65" t="s">
        <v>493</v>
      </c>
      <c r="F97" s="129">
        <f>IF(Ruvlo1&lt;0,"N/A",D97)</f>
        <v>2000</v>
      </c>
      <c r="G97" s="129" t="str">
        <f>IF(Ruvlo1&lt;0,"N/A",D97&amp;"kΩ")</f>
        <v>2000kΩ</v>
      </c>
      <c r="H97" s="106"/>
    </row>
    <row r="98" spans="1:8" ht="15.75" customHeight="1" x14ac:dyDescent="0.3">
      <c r="A98" s="353" t="s">
        <v>517</v>
      </c>
      <c r="B98" s="355">
        <f>D97*Vuvlo_on/(VINuvlo_on-Vuvlo_on+Ruvlo1*Iuvlo1)</f>
        <v>121.2121212121212</v>
      </c>
      <c r="C98" s="65" t="s">
        <v>493</v>
      </c>
      <c r="D98" s="13">
        <f>'Standard Value Calculator'!S17</f>
        <v>121</v>
      </c>
      <c r="E98" s="65" t="s">
        <v>493</v>
      </c>
      <c r="F98" s="129">
        <f>IF(F97="N/A","N/A",D98)</f>
        <v>121</v>
      </c>
      <c r="G98" s="129" t="str">
        <f>IF(G97="N/A","N/A",D98&amp;"kΩ")</f>
        <v>121kΩ</v>
      </c>
      <c r="H98" s="106"/>
    </row>
    <row r="99" spans="1:8" ht="15.75" customHeight="1" x14ac:dyDescent="0.2">
      <c r="A99" s="353"/>
      <c r="B99" s="355"/>
      <c r="C99" s="65"/>
      <c r="D99" s="13"/>
      <c r="E99" s="65"/>
      <c r="F99" s="13"/>
      <c r="G99" s="13"/>
      <c r="H99" s="106"/>
    </row>
    <row r="100" spans="1:8" ht="15.75" customHeight="1" x14ac:dyDescent="0.3">
      <c r="A100" s="353" t="s">
        <v>494</v>
      </c>
      <c r="B100" s="355">
        <f>(D97+D98)/D98*Vuvlo_on-Iuvlo1*D97</f>
        <v>21.03471074380165</v>
      </c>
      <c r="C100" s="65"/>
      <c r="D100" s="13"/>
      <c r="E100" s="65"/>
      <c r="F100" s="13"/>
      <c r="G100" s="13"/>
      <c r="H100" s="106"/>
    </row>
    <row r="101" spans="1:8" ht="15.75" customHeight="1" x14ac:dyDescent="0.3">
      <c r="A101" s="353" t="s">
        <v>495</v>
      </c>
      <c r="B101" s="355">
        <f>(D97+D98)/D98*Vuvlo_off-Iuvlo2*D97</f>
        <v>1.0347107438016501</v>
      </c>
      <c r="C101" s="65"/>
      <c r="D101" s="13"/>
      <c r="E101" s="65"/>
      <c r="F101" s="13"/>
      <c r="G101" s="13"/>
      <c r="H101" s="106"/>
    </row>
    <row r="102" spans="1:8" ht="15.75" customHeight="1" x14ac:dyDescent="0.2">
      <c r="A102" s="353"/>
      <c r="B102" s="355"/>
      <c r="C102" s="65"/>
      <c r="D102" s="13"/>
      <c r="E102" s="65"/>
      <c r="F102" s="13"/>
      <c r="G102" s="13"/>
      <c r="H102" s="106"/>
    </row>
    <row r="103" spans="1:8" ht="15.75" customHeight="1" x14ac:dyDescent="0.2">
      <c r="A103" s="353"/>
      <c r="B103" s="129"/>
      <c r="C103" s="13"/>
      <c r="D103" s="13"/>
      <c r="E103" s="13"/>
      <c r="F103" s="13"/>
      <c r="G103" s="13"/>
      <c r="H103" s="106"/>
    </row>
    <row r="104" spans="1:8" ht="15.75" customHeight="1" x14ac:dyDescent="0.2">
      <c r="A104" s="353" t="s">
        <v>488</v>
      </c>
      <c r="B104" s="129">
        <v>1.2</v>
      </c>
      <c r="C104" s="13"/>
      <c r="D104" s="13"/>
      <c r="E104" s="13"/>
      <c r="F104" s="13"/>
      <c r="G104" s="13"/>
      <c r="H104" s="106"/>
    </row>
    <row r="105" spans="1:8" ht="15.75" customHeight="1" x14ac:dyDescent="0.2">
      <c r="A105" s="353" t="s">
        <v>489</v>
      </c>
      <c r="B105" s="129">
        <v>1.2</v>
      </c>
      <c r="C105" s="13"/>
      <c r="D105" s="13"/>
      <c r="E105" s="13"/>
      <c r="F105" s="13"/>
      <c r="G105" s="13"/>
      <c r="H105" s="106"/>
    </row>
    <row r="106" spans="1:8" ht="15.75" customHeight="1" x14ac:dyDescent="0.2">
      <c r="A106" s="353" t="s">
        <v>489</v>
      </c>
      <c r="B106" s="129">
        <f>B104-B105</f>
        <v>0</v>
      </c>
      <c r="C106" s="13"/>
      <c r="D106" s="13"/>
      <c r="E106" s="13"/>
      <c r="F106" s="13"/>
      <c r="G106" s="13"/>
      <c r="H106" s="106"/>
    </row>
    <row r="107" spans="1:8" ht="15.75" customHeight="1" x14ac:dyDescent="0.2">
      <c r="A107" s="353" t="s">
        <v>492</v>
      </c>
      <c r="B107" s="129">
        <v>0</v>
      </c>
      <c r="C107" s="13"/>
      <c r="D107" s="13"/>
      <c r="E107" s="13"/>
      <c r="F107" s="13"/>
      <c r="G107" s="13"/>
      <c r="H107" s="106"/>
    </row>
    <row r="108" spans="1:8" ht="15.75" customHeight="1" x14ac:dyDescent="0.2">
      <c r="A108" s="353" t="s">
        <v>490</v>
      </c>
      <c r="B108" s="129">
        <v>0.01</v>
      </c>
      <c r="C108" s="13"/>
      <c r="D108" s="13"/>
      <c r="E108" s="13"/>
      <c r="F108" s="13"/>
      <c r="G108" s="13"/>
      <c r="H108" s="106"/>
    </row>
    <row r="109" spans="1:8" ht="15.75" customHeight="1" x14ac:dyDescent="0.2">
      <c r="A109" s="353" t="s">
        <v>491</v>
      </c>
      <c r="B109" s="129">
        <f>B108-B107</f>
        <v>0.01</v>
      </c>
      <c r="C109" s="13"/>
      <c r="D109" s="13"/>
      <c r="E109" s="13"/>
      <c r="F109" s="13"/>
      <c r="G109" s="13"/>
      <c r="H109" s="106"/>
    </row>
    <row r="110" spans="1:8" ht="15.75" customHeight="1" x14ac:dyDescent="0.2">
      <c r="A110" s="353"/>
      <c r="B110" s="129"/>
      <c r="C110" s="13"/>
      <c r="D110" s="13"/>
      <c r="E110" s="13"/>
      <c r="F110" s="13"/>
      <c r="G110" s="13"/>
      <c r="H110" s="106"/>
    </row>
    <row r="111" spans="1:8" ht="15.75" customHeight="1" x14ac:dyDescent="0.3">
      <c r="A111" s="105" t="s">
        <v>331</v>
      </c>
      <c r="B111" s="129"/>
      <c r="C111" s="358" t="s">
        <v>208</v>
      </c>
      <c r="D111" s="13"/>
      <c r="E111" s="13"/>
      <c r="F111" s="13"/>
      <c r="G111" s="13"/>
      <c r="H111" s="106"/>
    </row>
    <row r="112" spans="1:8" ht="15.75" customHeight="1" x14ac:dyDescent="0.3">
      <c r="A112" s="105" t="s">
        <v>332</v>
      </c>
      <c r="B112" s="129"/>
      <c r="C112" s="358" t="s">
        <v>208</v>
      </c>
      <c r="D112" s="13"/>
      <c r="E112" s="13"/>
      <c r="F112" s="13"/>
      <c r="G112" s="13"/>
      <c r="H112" s="106"/>
    </row>
    <row r="113" spans="1:8" ht="15.75" customHeight="1" x14ac:dyDescent="0.2">
      <c r="A113" s="105" t="s">
        <v>306</v>
      </c>
      <c r="B113" s="129"/>
      <c r="C113" s="358" t="s">
        <v>208</v>
      </c>
      <c r="D113" s="13"/>
      <c r="E113" s="13"/>
      <c r="F113" s="13"/>
      <c r="G113" s="13"/>
      <c r="H113" s="106"/>
    </row>
    <row r="114" spans="1:8" ht="15.75" customHeight="1" x14ac:dyDescent="0.2">
      <c r="A114" s="105" t="s">
        <v>429</v>
      </c>
      <c r="B114" s="129" t="e">
        <f>80700/(Totp+273)*398</f>
        <v>#NAME?</v>
      </c>
      <c r="C114" s="358" t="s">
        <v>208</v>
      </c>
      <c r="D114" s="13"/>
      <c r="E114" s="13"/>
      <c r="F114" s="13"/>
      <c r="G114" s="13"/>
      <c r="H114" s="106"/>
    </row>
    <row r="115" spans="1:8" ht="15.75" customHeight="1" x14ac:dyDescent="0.2">
      <c r="A115" s="105"/>
      <c r="B115" s="129"/>
      <c r="C115" s="13"/>
      <c r="D115" s="13"/>
      <c r="E115" s="13"/>
      <c r="F115" s="13"/>
      <c r="G115" s="13"/>
      <c r="H115" s="106"/>
    </row>
    <row r="116" spans="1:8" x14ac:dyDescent="0.2">
      <c r="A116" s="105"/>
      <c r="B116" s="129"/>
      <c r="C116" s="13"/>
      <c r="D116" s="13"/>
      <c r="E116" s="13"/>
      <c r="F116" s="13"/>
      <c r="G116" s="13"/>
      <c r="H116" s="106"/>
    </row>
    <row r="117" spans="1:8" x14ac:dyDescent="0.2">
      <c r="A117" s="105" t="s">
        <v>333</v>
      </c>
      <c r="B117" s="129">
        <v>100</v>
      </c>
      <c r="C117" s="204" t="s">
        <v>53</v>
      </c>
      <c r="D117" s="13"/>
      <c r="E117" s="13"/>
      <c r="F117" s="13"/>
      <c r="G117" s="13"/>
      <c r="H117" s="106"/>
    </row>
    <row r="118" spans="1:8" x14ac:dyDescent="0.2">
      <c r="A118" s="105"/>
      <c r="B118" s="129"/>
      <c r="C118" s="13"/>
      <c r="D118" s="13"/>
      <c r="E118" s="13"/>
      <c r="F118" s="13"/>
      <c r="G118" s="13"/>
      <c r="H118" s="106"/>
    </row>
    <row r="119" spans="1:8" ht="13.5" thickBot="1" x14ac:dyDescent="0.25">
      <c r="A119" s="109"/>
      <c r="B119" s="130"/>
      <c r="C119" s="110"/>
      <c r="D119" s="110"/>
      <c r="E119" s="110"/>
      <c r="F119" s="110"/>
      <c r="G119" s="110"/>
      <c r="H119" s="111"/>
    </row>
    <row r="120" spans="1:8" x14ac:dyDescent="0.2">
      <c r="B120" s="64"/>
    </row>
    <row r="121" spans="1:8" ht="16.5" thickBot="1" x14ac:dyDescent="0.3">
      <c r="A121" s="158" t="s">
        <v>330</v>
      </c>
      <c r="B121" s="13"/>
      <c r="C121" s="13"/>
      <c r="D121" s="13"/>
      <c r="E121" s="13"/>
      <c r="F121" s="13"/>
      <c r="G121" s="13"/>
      <c r="H121" s="13"/>
    </row>
    <row r="122" spans="1:8" x14ac:dyDescent="0.2">
      <c r="A122" s="160" t="s">
        <v>81</v>
      </c>
      <c r="B122" s="408">
        <v>10000</v>
      </c>
      <c r="C122" s="112" t="s">
        <v>49</v>
      </c>
      <c r="D122" s="207" t="s">
        <v>432</v>
      </c>
      <c r="E122" s="112"/>
      <c r="F122" s="112"/>
      <c r="G122" s="112"/>
      <c r="H122" s="113"/>
    </row>
    <row r="123" spans="1:8" x14ac:dyDescent="0.2">
      <c r="A123" s="105" t="s">
        <v>82</v>
      </c>
      <c r="B123" s="108">
        <v>5000000</v>
      </c>
      <c r="C123" s="13" t="s">
        <v>10</v>
      </c>
      <c r="D123" s="204" t="s">
        <v>433</v>
      </c>
      <c r="E123" s="13"/>
      <c r="F123" s="13"/>
      <c r="G123" s="13"/>
      <c r="H123" s="106"/>
    </row>
    <row r="124" spans="1:8" x14ac:dyDescent="0.2">
      <c r="A124" s="353" t="s">
        <v>545</v>
      </c>
      <c r="B124" s="169">
        <f>'Design Regulator'!E60*1000</f>
        <v>30000</v>
      </c>
      <c r="C124" s="204" t="s">
        <v>10</v>
      </c>
      <c r="D124" s="13"/>
      <c r="E124" s="13"/>
      <c r="F124" s="13"/>
      <c r="G124" s="13"/>
      <c r="H124" s="106"/>
    </row>
    <row r="125" spans="1:8" x14ac:dyDescent="0.2">
      <c r="A125" s="105" t="s">
        <v>51</v>
      </c>
      <c r="B125" s="170">
        <f>Fcross/Fo/15</f>
        <v>0.88263532448111826</v>
      </c>
      <c r="C125" s="13" t="s">
        <v>49</v>
      </c>
      <c r="D125" s="204" t="s">
        <v>439</v>
      </c>
      <c r="E125" s="13"/>
      <c r="F125" s="13"/>
      <c r="G125" s="13"/>
      <c r="H125" s="106">
        <v>1</v>
      </c>
    </row>
    <row r="126" spans="1:8" x14ac:dyDescent="0.2">
      <c r="A126" s="105" t="s">
        <v>52</v>
      </c>
      <c r="B126" s="131">
        <f>'Design Regulator'!E62*1000</f>
        <v>18000</v>
      </c>
      <c r="C126" s="358" t="s">
        <v>208</v>
      </c>
      <c r="D126" s="13" t="s">
        <v>260</v>
      </c>
      <c r="E126" s="13"/>
      <c r="F126" s="13"/>
      <c r="G126" s="13"/>
      <c r="H126" s="106">
        <v>1</v>
      </c>
    </row>
    <row r="127" spans="1:8" x14ac:dyDescent="0.2">
      <c r="A127" s="117" t="s">
        <v>77</v>
      </c>
      <c r="B127" s="411">
        <f>IF(Vout=Vref,100000000,Vref/((Vout-Vref)/_Rfb1))</f>
        <v>1309.0909090909092</v>
      </c>
      <c r="C127" s="358" t="s">
        <v>208</v>
      </c>
      <c r="D127" s="204" t="s">
        <v>707</v>
      </c>
      <c r="E127" s="13"/>
      <c r="F127" s="13"/>
      <c r="G127" s="13"/>
      <c r="H127" s="106"/>
    </row>
    <row r="128" spans="1:8" x14ac:dyDescent="0.2">
      <c r="A128" s="105" t="s">
        <v>271</v>
      </c>
      <c r="B128" s="121">
        <f>IF(Vout=Vref,"N/A",'Standard Value Calculator'!S11)</f>
        <v>1300</v>
      </c>
      <c r="C128" s="358" t="s">
        <v>208</v>
      </c>
      <c r="D128" s="204" t="s">
        <v>706</v>
      </c>
      <c r="E128" s="13"/>
      <c r="F128" s="13"/>
      <c r="G128" s="13"/>
      <c r="H128" s="106"/>
    </row>
    <row r="129" spans="1:8" x14ac:dyDescent="0.2">
      <c r="A129" s="444" t="s">
        <v>698</v>
      </c>
      <c r="B129" s="526">
        <f>0.8/Rfb2_u*(Rfb2_u+_Rfb1)</f>
        <v>11.876923076923077</v>
      </c>
      <c r="C129" s="13" t="s">
        <v>0</v>
      </c>
      <c r="D129" s="354" t="s">
        <v>699</v>
      </c>
      <c r="E129" s="13"/>
      <c r="F129" s="13"/>
      <c r="G129" s="13"/>
      <c r="H129" s="106"/>
    </row>
    <row r="130" spans="1:8" x14ac:dyDescent="0.2">
      <c r="A130" s="444"/>
      <c r="B130" s="53"/>
      <c r="C130" s="358"/>
      <c r="D130" s="204"/>
      <c r="E130" s="13"/>
      <c r="F130" s="13"/>
      <c r="G130" s="13"/>
      <c r="H130" s="106"/>
    </row>
    <row r="131" spans="1:8" x14ac:dyDescent="0.2">
      <c r="A131" s="114" t="s">
        <v>74</v>
      </c>
      <c r="B131" s="448">
        <f>Vin/15</f>
        <v>1.6</v>
      </c>
      <c r="C131" s="13" t="s">
        <v>75</v>
      </c>
      <c r="D131" s="204" t="s">
        <v>562</v>
      </c>
      <c r="E131" s="13"/>
      <c r="F131" s="13"/>
      <c r="G131" s="13"/>
      <c r="H131" s="106"/>
    </row>
    <row r="132" spans="1:8" x14ac:dyDescent="0.2">
      <c r="A132" s="114" t="s">
        <v>58</v>
      </c>
      <c r="B132" s="412">
        <f>Kmidband*_Rfb1</f>
        <v>15887.435840660128</v>
      </c>
      <c r="C132" s="358" t="s">
        <v>208</v>
      </c>
      <c r="D132" s="204" t="s">
        <v>431</v>
      </c>
      <c r="E132" s="13"/>
      <c r="F132" s="13"/>
      <c r="G132" s="13"/>
      <c r="H132" s="106">
        <v>1</v>
      </c>
    </row>
    <row r="133" spans="1:8" x14ac:dyDescent="0.2">
      <c r="A133" s="114" t="s">
        <v>54</v>
      </c>
      <c r="B133" s="413">
        <f>1/(Rcea1*('Design Regulator'!E66*1000)*2*Pi)</f>
        <v>6.3156723521331912E-9</v>
      </c>
      <c r="C133" s="13" t="s">
        <v>34</v>
      </c>
      <c r="D133" s="13" t="s">
        <v>261</v>
      </c>
      <c r="E133" s="13"/>
      <c r="F133" s="13"/>
      <c r="G133" s="13"/>
      <c r="H133" s="106">
        <v>1</v>
      </c>
    </row>
    <row r="134" spans="1:8" x14ac:dyDescent="0.2">
      <c r="A134" s="114" t="s">
        <v>55</v>
      </c>
      <c r="B134" s="413">
        <f>1/((Rcea1*2*Pi*'Design Regulator'!E69*1000)-1/Cc1ea)</f>
        <v>4.0326500181586811E-11</v>
      </c>
      <c r="C134" s="13" t="s">
        <v>34</v>
      </c>
      <c r="D134" s="13"/>
      <c r="E134" s="13"/>
      <c r="F134" s="13"/>
      <c r="G134" s="13"/>
      <c r="H134" s="106">
        <v>1</v>
      </c>
    </row>
    <row r="135" spans="1:8" x14ac:dyDescent="0.2">
      <c r="A135" s="114" t="s">
        <v>56</v>
      </c>
      <c r="B135" s="411">
        <f>(1/(1000*2*Pi*'Design Regulator'!E68))*_Rfb1/(1/('Design Regulator'!E67*1000*2*Pi)-(1/(1000*2*Pi*'Design Regulator'!E68)))</f>
        <v>2615.12350317037</v>
      </c>
      <c r="C135" s="358" t="s">
        <v>208</v>
      </c>
      <c r="D135" s="13"/>
      <c r="E135" s="13"/>
      <c r="F135" s="13"/>
      <c r="G135" s="13"/>
      <c r="H135" s="106">
        <v>1</v>
      </c>
    </row>
    <row r="136" spans="1:8" x14ac:dyDescent="0.2">
      <c r="A136" s="114" t="s">
        <v>57</v>
      </c>
      <c r="B136" s="413">
        <f>(1/(1000*2*Pi*'Design Regulator'!E68))/Rcea2</f>
        <v>3.7856720678767259E-9</v>
      </c>
      <c r="C136" s="13" t="s">
        <v>34</v>
      </c>
      <c r="D136" s="13"/>
      <c r="E136" s="13"/>
      <c r="F136" s="13"/>
      <c r="G136" s="13"/>
      <c r="H136" s="106">
        <v>1</v>
      </c>
    </row>
    <row r="137" spans="1:8" x14ac:dyDescent="0.2">
      <c r="A137" s="114"/>
      <c r="B137" s="132"/>
      <c r="C137" s="13"/>
      <c r="D137" s="13"/>
      <c r="E137" s="13"/>
      <c r="F137" s="13"/>
      <c r="G137" s="13"/>
      <c r="H137" s="106"/>
    </row>
    <row r="138" spans="1:8" x14ac:dyDescent="0.2">
      <c r="A138" s="117" t="s">
        <v>383</v>
      </c>
      <c r="B138" s="13"/>
      <c r="C138" s="13"/>
      <c r="D138" s="13"/>
      <c r="E138" s="13"/>
      <c r="F138" s="13"/>
      <c r="G138" s="13"/>
      <c r="H138" s="106"/>
    </row>
    <row r="139" spans="1:8" x14ac:dyDescent="0.2">
      <c r="A139" s="105" t="s">
        <v>59</v>
      </c>
      <c r="B139" s="197">
        <f>'Design Regulator'!D73*1000</f>
        <v>18000</v>
      </c>
      <c r="C139" s="358" t="s">
        <v>208</v>
      </c>
      <c r="D139" s="13"/>
      <c r="E139" s="13"/>
      <c r="F139" s="13"/>
      <c r="G139" s="13"/>
      <c r="H139" s="106">
        <v>2</v>
      </c>
    </row>
    <row r="140" spans="1:8" x14ac:dyDescent="0.2">
      <c r="A140" s="105" t="s">
        <v>60</v>
      </c>
      <c r="B140" s="124">
        <f>'Design Regulator'!D74*0.000000000001</f>
        <v>2.6200000000000001E-9</v>
      </c>
      <c r="C140" s="13" t="s">
        <v>34</v>
      </c>
      <c r="D140" s="13"/>
      <c r="E140" s="13"/>
      <c r="F140" s="13"/>
      <c r="G140" s="13"/>
      <c r="H140" s="106">
        <v>2</v>
      </c>
    </row>
    <row r="141" spans="1:8" x14ac:dyDescent="0.2">
      <c r="A141" s="105" t="s">
        <v>61</v>
      </c>
      <c r="B141" s="124">
        <f>'Design Regulator'!D75*0.000000000001</f>
        <v>9.9999999999999998E-13</v>
      </c>
      <c r="C141" s="13" t="s">
        <v>34</v>
      </c>
      <c r="D141" s="13"/>
      <c r="E141" s="13"/>
      <c r="F141" s="13"/>
      <c r="G141" s="13"/>
      <c r="H141" s="106">
        <v>2</v>
      </c>
    </row>
    <row r="142" spans="1:8" x14ac:dyDescent="0.2">
      <c r="A142" s="105" t="s">
        <v>62</v>
      </c>
      <c r="B142" s="197">
        <f>'Design Regulator'!D76</f>
        <v>1800</v>
      </c>
      <c r="C142" s="358" t="s">
        <v>208</v>
      </c>
      <c r="D142" s="13"/>
      <c r="E142" s="13"/>
      <c r="F142" s="13"/>
      <c r="G142" s="13"/>
      <c r="H142" s="106">
        <v>2</v>
      </c>
    </row>
    <row r="143" spans="1:8" x14ac:dyDescent="0.2">
      <c r="A143" s="105" t="s">
        <v>63</v>
      </c>
      <c r="B143" s="124">
        <f>'Design Regulator'!D77*0.000000000001</f>
        <v>3.2999999999999998E-9</v>
      </c>
      <c r="C143" s="13" t="s">
        <v>34</v>
      </c>
      <c r="D143" s="13"/>
      <c r="E143" s="13"/>
      <c r="F143" s="13"/>
      <c r="G143" s="13"/>
      <c r="H143" s="106">
        <v>2</v>
      </c>
    </row>
    <row r="144" spans="1:8" x14ac:dyDescent="0.2">
      <c r="A144" s="105"/>
      <c r="B144" s="13"/>
      <c r="C144" s="13"/>
      <c r="D144" s="13"/>
      <c r="E144" s="13"/>
      <c r="F144" s="13"/>
      <c r="G144" s="13"/>
      <c r="H144" s="106"/>
    </row>
    <row r="145" spans="1:8" x14ac:dyDescent="0.2">
      <c r="A145" s="117" t="s">
        <v>344</v>
      </c>
      <c r="B145" s="13"/>
      <c r="C145" s="13"/>
      <c r="D145" s="13">
        <f>Cout</f>
        <v>3.3E-3</v>
      </c>
      <c r="E145" s="13">
        <f>CoutEsr</f>
        <v>3.0000000000000001E-3</v>
      </c>
      <c r="F145" s="13"/>
      <c r="G145" s="13"/>
      <c r="H145" s="106"/>
    </row>
    <row r="146" spans="1:8" x14ac:dyDescent="0.2">
      <c r="A146" s="114" t="s">
        <v>39</v>
      </c>
      <c r="B146" s="479">
        <f>SQRT((Rfets+Rdcr+Ro)/(Cout*Lout2*(CoutEsr+Ro)))/(2*Pi)</f>
        <v>2265.9414874152649</v>
      </c>
      <c r="C146" s="13" t="s">
        <v>10</v>
      </c>
      <c r="D146" s="13" t="s">
        <v>40</v>
      </c>
      <c r="E146" s="13"/>
      <c r="F146" s="13"/>
      <c r="G146" s="13"/>
      <c r="H146" s="106"/>
    </row>
    <row r="147" spans="1:8" x14ac:dyDescent="0.2">
      <c r="A147" s="114" t="s">
        <v>42</v>
      </c>
      <c r="B147" s="480">
        <f>(Rfets+Rdcr+Ro)/(Lout2+Cout*(Rdcr+Rfets)*(CoutEsr+Ro)+Cout*CoutEsr*Ro)/(Fo*2*Pi)</f>
        <v>2.4403047067117578</v>
      </c>
      <c r="C147" s="13" t="s">
        <v>49</v>
      </c>
      <c r="D147" s="13" t="s">
        <v>43</v>
      </c>
      <c r="E147" s="13"/>
      <c r="F147" s="13"/>
      <c r="G147" s="13"/>
      <c r="H147" s="106"/>
    </row>
    <row r="148" spans="1:8" x14ac:dyDescent="0.2">
      <c r="A148" s="114" t="s">
        <v>41</v>
      </c>
      <c r="B148" s="479">
        <f>1/(2*Pi*Cout*CoutEsr)</f>
        <v>16076.256896339026</v>
      </c>
      <c r="C148" s="13" t="s">
        <v>10</v>
      </c>
      <c r="D148" s="204" t="s">
        <v>434</v>
      </c>
      <c r="E148" s="13"/>
      <c r="F148" s="13"/>
      <c r="G148" s="13"/>
      <c r="H148" s="106"/>
    </row>
    <row r="149" spans="1:8" x14ac:dyDescent="0.2">
      <c r="A149" s="114" t="s">
        <v>64</v>
      </c>
      <c r="B149" s="479">
        <f>1/(2*Pi*Rcea1_u*Cc1ea_u)</f>
        <v>3374.786753048269</v>
      </c>
      <c r="C149" s="13" t="s">
        <v>10</v>
      </c>
      <c r="D149" s="204" t="s">
        <v>547</v>
      </c>
      <c r="E149" s="13"/>
      <c r="F149" s="13"/>
      <c r="G149" s="13"/>
      <c r="H149" s="106"/>
    </row>
    <row r="150" spans="1:8" x14ac:dyDescent="0.2">
      <c r="A150" s="114" t="s">
        <v>65</v>
      </c>
      <c r="B150" s="479">
        <f>1/(2*Pi*Cc3ea_u*(_Rfb1+Rcea2_u))</f>
        <v>2435.7964994453073</v>
      </c>
      <c r="C150" s="13" t="s">
        <v>10</v>
      </c>
      <c r="D150" s="204" t="s">
        <v>547</v>
      </c>
      <c r="E150" s="13"/>
      <c r="F150" s="13"/>
      <c r="G150" s="13"/>
      <c r="H150" s="106"/>
    </row>
    <row r="151" spans="1:8" x14ac:dyDescent="0.2">
      <c r="A151" s="114" t="s">
        <v>66</v>
      </c>
      <c r="B151" s="479">
        <f>1/(2*Pi*Rcea2_u*Cc3ea_u)</f>
        <v>26793.761493898379</v>
      </c>
      <c r="C151" s="13" t="s">
        <v>10</v>
      </c>
      <c r="D151" s="13" t="s">
        <v>263</v>
      </c>
      <c r="E151" s="13"/>
      <c r="F151" s="13"/>
      <c r="G151" s="13"/>
      <c r="H151" s="106"/>
    </row>
    <row r="152" spans="1:8" x14ac:dyDescent="0.2">
      <c r="A152" s="114" t="s">
        <v>67</v>
      </c>
      <c r="B152" s="479">
        <f>1/(2*Pi*Rcea1_u*(Cc1ea_u*Cc2ea_u/(Cc1ea_u+Cc2ea_u)))</f>
        <v>8845316.0797395129</v>
      </c>
      <c r="C152" s="13" t="s">
        <v>10</v>
      </c>
      <c r="D152" s="13" t="s">
        <v>262</v>
      </c>
      <c r="E152" s="13"/>
      <c r="F152" s="13"/>
      <c r="G152" s="13"/>
      <c r="H152" s="106"/>
    </row>
    <row r="153" spans="1:8" x14ac:dyDescent="0.2">
      <c r="A153" s="114" t="s">
        <v>80</v>
      </c>
      <c r="B153" s="480">
        <f>Vout/(Iout+Vref/_Rfb2)</f>
        <v>0.5899819727730542</v>
      </c>
      <c r="C153" s="13"/>
      <c r="D153" s="204" t="s">
        <v>546</v>
      </c>
      <c r="E153" s="13"/>
      <c r="F153" s="13"/>
      <c r="G153" s="13"/>
      <c r="H153" s="106"/>
    </row>
    <row r="154" spans="1:8" x14ac:dyDescent="0.2">
      <c r="A154" s="114" t="s">
        <v>70</v>
      </c>
      <c r="B154" s="480">
        <v>3.1415926500000002</v>
      </c>
      <c r="C154" s="13"/>
      <c r="D154" s="13" t="s">
        <v>264</v>
      </c>
      <c r="E154" s="13"/>
      <c r="F154" s="13"/>
      <c r="G154" s="13"/>
      <c r="H154" s="106"/>
    </row>
    <row r="155" spans="1:8" x14ac:dyDescent="0.2">
      <c r="A155" s="114" t="s">
        <v>328</v>
      </c>
      <c r="B155" s="132"/>
      <c r="C155" s="13"/>
      <c r="D155" s="13"/>
      <c r="E155" s="13"/>
      <c r="F155" s="13"/>
      <c r="G155" s="13"/>
      <c r="H155" s="106"/>
    </row>
    <row r="156" spans="1:8" x14ac:dyDescent="0.2">
      <c r="A156" s="114" t="s">
        <v>337</v>
      </c>
      <c r="B156" s="132">
        <v>0</v>
      </c>
      <c r="C156" s="358" t="s">
        <v>208</v>
      </c>
      <c r="D156" s="204" t="s">
        <v>542</v>
      </c>
      <c r="E156" s="13"/>
      <c r="F156" s="13"/>
      <c r="G156" s="13">
        <f>_Don2*RdsonTop+Doff2*RdsonBot+B161*Vin^2*Fsw/2/(((Iripple1/SQRT(3))^2))</f>
        <v>3.4803612529611783E-2</v>
      </c>
      <c r="H156" s="106"/>
    </row>
    <row r="157" spans="1:8" x14ac:dyDescent="0.2">
      <c r="A157" s="105"/>
      <c r="B157" s="13"/>
      <c r="C157" s="13"/>
      <c r="D157" s="13"/>
      <c r="E157" s="13"/>
      <c r="F157" s="13"/>
      <c r="G157" s="13"/>
      <c r="H157" s="106"/>
    </row>
    <row r="158" spans="1:8" x14ac:dyDescent="0.2">
      <c r="A158" s="114" t="s">
        <v>340</v>
      </c>
      <c r="B158" s="133">
        <f>0.00000002*Fsw*0.6*4/Iripple1</f>
        <v>2.9666417615259529E-3</v>
      </c>
      <c r="C158" s="13"/>
      <c r="D158" s="133"/>
      <c r="E158" s="13"/>
      <c r="F158" s="13"/>
      <c r="G158" s="13"/>
      <c r="H158" s="106"/>
    </row>
    <row r="159" spans="1:8" x14ac:dyDescent="0.2">
      <c r="A159" s="114" t="s">
        <v>339</v>
      </c>
      <c r="B159" s="133">
        <f>_Don2*RdsonTop+Doff2*RdsonBot</f>
        <v>1.8E-3</v>
      </c>
      <c r="C159" s="13"/>
      <c r="D159" s="133"/>
      <c r="E159" s="13"/>
      <c r="F159" s="13"/>
      <c r="G159" s="13"/>
      <c r="H159" s="106"/>
    </row>
    <row r="160" spans="1:8" x14ac:dyDescent="0.2">
      <c r="A160" s="114" t="s">
        <v>338</v>
      </c>
      <c r="B160" s="133">
        <f>B161*Vin^2*Fsw/2/(((Iripple1/SQRT(3))^2))</f>
        <v>3.300361252961178E-2</v>
      </c>
      <c r="C160" s="13"/>
      <c r="D160" s="133"/>
      <c r="E160" s="13"/>
      <c r="F160" s="13"/>
      <c r="G160" s="13"/>
      <c r="H160" s="106"/>
    </row>
    <row r="161" spans="1:8" ht="13.5" thickBot="1" x14ac:dyDescent="0.25">
      <c r="A161" s="126" t="s">
        <v>341</v>
      </c>
      <c r="B161" s="134">
        <v>5.0000000000000001E-9</v>
      </c>
      <c r="C161" s="110"/>
      <c r="D161" s="134"/>
      <c r="E161" s="110"/>
      <c r="F161" s="110"/>
      <c r="G161" s="110"/>
      <c r="H161" s="111"/>
    </row>
    <row r="162" spans="1:8" x14ac:dyDescent="0.2">
      <c r="A162" s="1"/>
      <c r="B162" s="74"/>
      <c r="D162" s="74"/>
    </row>
    <row r="163" spans="1:8" x14ac:dyDescent="0.2">
      <c r="A163" s="1"/>
      <c r="B163" s="74"/>
      <c r="D163" s="74"/>
    </row>
    <row r="164" spans="1:8" ht="16.5" thickBot="1" x14ac:dyDescent="0.3">
      <c r="A164" s="165" t="s">
        <v>362</v>
      </c>
      <c r="B164" s="13"/>
      <c r="C164" s="13"/>
      <c r="D164" s="13"/>
      <c r="E164" s="13"/>
      <c r="F164" s="13"/>
      <c r="G164" s="13"/>
      <c r="H164" s="13"/>
    </row>
    <row r="165" spans="1:8" x14ac:dyDescent="0.2">
      <c r="A165" s="160"/>
      <c r="B165" s="112"/>
      <c r="C165" s="112"/>
      <c r="D165" s="112"/>
      <c r="E165" s="112"/>
      <c r="F165" s="112"/>
      <c r="G165" s="112"/>
      <c r="H165" s="113"/>
    </row>
    <row r="166" spans="1:8" x14ac:dyDescent="0.2">
      <c r="A166" s="117" t="s">
        <v>125</v>
      </c>
      <c r="B166" s="13"/>
      <c r="C166" s="13"/>
      <c r="D166" s="13"/>
      <c r="E166" s="13"/>
      <c r="F166" s="13"/>
      <c r="G166" s="13"/>
      <c r="H166" s="106"/>
    </row>
    <row r="167" spans="1:8" x14ac:dyDescent="0.2">
      <c r="A167" s="105" t="s">
        <v>156</v>
      </c>
      <c r="B167" s="44">
        <v>25</v>
      </c>
      <c r="C167" s="13"/>
      <c r="D167" s="13" t="s">
        <v>175</v>
      </c>
      <c r="E167" s="13"/>
      <c r="F167" s="13"/>
      <c r="G167" s="13"/>
      <c r="H167" s="106"/>
    </row>
    <row r="168" spans="1:8" ht="15.75" x14ac:dyDescent="0.25">
      <c r="A168" s="543" t="s">
        <v>128</v>
      </c>
      <c r="B168" s="13"/>
      <c r="C168" s="13"/>
      <c r="D168" s="13"/>
      <c r="E168" s="13"/>
      <c r="F168" s="13"/>
      <c r="G168" s="13"/>
      <c r="H168" s="106"/>
    </row>
    <row r="169" spans="1:8" x14ac:dyDescent="0.2">
      <c r="A169" s="105" t="s">
        <v>155</v>
      </c>
      <c r="B169" s="108">
        <f>4000/1000000</f>
        <v>4.0000000000000001E-3</v>
      </c>
      <c r="C169" s="204" t="s">
        <v>563</v>
      </c>
      <c r="D169" s="13" t="s">
        <v>176</v>
      </c>
      <c r="E169" s="13"/>
      <c r="F169" s="13"/>
      <c r="G169" s="13"/>
      <c r="H169" s="106"/>
    </row>
    <row r="170" spans="1:8" x14ac:dyDescent="0.2">
      <c r="A170" s="105" t="s">
        <v>250</v>
      </c>
      <c r="B170" s="108">
        <v>20</v>
      </c>
      <c r="C170" s="354" t="s">
        <v>381</v>
      </c>
      <c r="D170" s="13" t="s">
        <v>251</v>
      </c>
      <c r="E170" s="13"/>
      <c r="F170" s="13"/>
      <c r="G170" s="13"/>
      <c r="H170" s="106"/>
    </row>
    <row r="171" spans="1:8" x14ac:dyDescent="0.2">
      <c r="A171" s="105" t="s">
        <v>159</v>
      </c>
      <c r="B171" s="44">
        <f>RCinEsr</f>
        <v>0.01</v>
      </c>
      <c r="C171" s="358" t="s">
        <v>208</v>
      </c>
      <c r="D171" s="13" t="s">
        <v>178</v>
      </c>
      <c r="E171" s="13"/>
      <c r="F171" s="13"/>
      <c r="G171" s="13"/>
      <c r="H171" s="106"/>
    </row>
    <row r="172" spans="1:8" x14ac:dyDescent="0.2">
      <c r="A172" s="114" t="s">
        <v>268</v>
      </c>
      <c r="B172" s="13"/>
      <c r="C172" s="13"/>
      <c r="D172" s="13"/>
      <c r="E172" s="13"/>
      <c r="F172" s="13"/>
      <c r="G172" s="13"/>
      <c r="H172" s="106"/>
    </row>
    <row r="173" spans="1:8" x14ac:dyDescent="0.2">
      <c r="A173" s="353" t="s">
        <v>619</v>
      </c>
      <c r="B173" s="108">
        <v>7.5</v>
      </c>
      <c r="C173" s="13"/>
      <c r="D173" s="13"/>
      <c r="E173" s="13"/>
      <c r="F173" s="13"/>
      <c r="G173" s="13"/>
      <c r="H173" s="106"/>
    </row>
    <row r="174" spans="1:8" x14ac:dyDescent="0.2">
      <c r="A174" s="117" t="s">
        <v>202</v>
      </c>
      <c r="B174" s="13"/>
      <c r="C174" s="13"/>
      <c r="D174" s="13"/>
      <c r="E174" s="13"/>
      <c r="F174" s="13"/>
      <c r="G174" s="13"/>
      <c r="H174" s="106"/>
    </row>
    <row r="175" spans="1:8" x14ac:dyDescent="0.2">
      <c r="A175" s="105" t="s">
        <v>132</v>
      </c>
      <c r="B175" s="108">
        <v>1</v>
      </c>
      <c r="C175" s="358" t="s">
        <v>208</v>
      </c>
      <c r="D175" s="13" t="s">
        <v>204</v>
      </c>
      <c r="E175" s="13"/>
      <c r="F175" s="13"/>
      <c r="G175" s="13"/>
      <c r="H175" s="106"/>
    </row>
    <row r="176" spans="1:8" x14ac:dyDescent="0.2">
      <c r="A176" s="105" t="s">
        <v>239</v>
      </c>
      <c r="B176" s="108">
        <v>0.9</v>
      </c>
      <c r="C176" s="358" t="s">
        <v>208</v>
      </c>
      <c r="D176" s="13" t="s">
        <v>205</v>
      </c>
      <c r="E176" s="13"/>
      <c r="F176" s="13"/>
      <c r="G176" s="13"/>
      <c r="H176" s="106"/>
    </row>
    <row r="177" spans="1:8" x14ac:dyDescent="0.2">
      <c r="A177" s="117" t="s">
        <v>203</v>
      </c>
      <c r="B177" s="13"/>
      <c r="C177" s="13"/>
      <c r="D177" s="13"/>
      <c r="E177" s="13"/>
      <c r="F177" s="13"/>
      <c r="G177" s="13"/>
      <c r="H177" s="106"/>
    </row>
    <row r="178" spans="1:8" x14ac:dyDescent="0.2">
      <c r="A178" s="105" t="s">
        <v>131</v>
      </c>
      <c r="B178" s="189">
        <v>1</v>
      </c>
      <c r="C178" s="358" t="s">
        <v>208</v>
      </c>
      <c r="D178" s="13" t="s">
        <v>204</v>
      </c>
      <c r="E178" s="13"/>
      <c r="F178" s="13"/>
      <c r="G178" s="13"/>
      <c r="H178" s="106"/>
    </row>
    <row r="179" spans="1:8" x14ac:dyDescent="0.2">
      <c r="A179" s="105" t="s">
        <v>238</v>
      </c>
      <c r="B179" s="108">
        <v>0.9</v>
      </c>
      <c r="C179" s="358" t="s">
        <v>208</v>
      </c>
      <c r="D179" s="13" t="s">
        <v>205</v>
      </c>
      <c r="E179" s="13"/>
      <c r="F179" s="13"/>
      <c r="G179" s="13"/>
      <c r="H179" s="106"/>
    </row>
    <row r="180" spans="1:8" x14ac:dyDescent="0.2">
      <c r="A180" s="117" t="s">
        <v>133</v>
      </c>
      <c r="B180" s="13"/>
      <c r="C180" s="13"/>
      <c r="D180" s="13" t="s">
        <v>199</v>
      </c>
      <c r="E180" s="13"/>
      <c r="F180" s="13"/>
      <c r="G180" s="13"/>
      <c r="H180" s="106"/>
    </row>
    <row r="181" spans="1:8" x14ac:dyDescent="0.2">
      <c r="A181" s="105" t="s">
        <v>133</v>
      </c>
      <c r="B181" s="120">
        <v>2.9999999999999997E-8</v>
      </c>
      <c r="C181" s="13" t="s">
        <v>265</v>
      </c>
      <c r="D181" s="13" t="s">
        <v>179</v>
      </c>
      <c r="E181" s="13"/>
      <c r="F181" s="13"/>
      <c r="G181" s="13"/>
      <c r="H181" s="106"/>
    </row>
    <row r="182" spans="1:8" x14ac:dyDescent="0.2">
      <c r="A182" s="117" t="s">
        <v>119</v>
      </c>
      <c r="B182" s="13"/>
      <c r="C182" s="13"/>
      <c r="D182" s="13"/>
      <c r="E182" s="13"/>
      <c r="F182" s="13"/>
      <c r="G182" s="13"/>
      <c r="H182" s="106"/>
    </row>
    <row r="183" spans="1:8" x14ac:dyDescent="0.2">
      <c r="A183" s="105" t="s">
        <v>249</v>
      </c>
      <c r="B183" s="108">
        <v>3.0000000000000001E-3</v>
      </c>
      <c r="C183" s="13" t="s">
        <v>2</v>
      </c>
      <c r="D183" s="13" t="s">
        <v>259</v>
      </c>
      <c r="E183" s="13"/>
      <c r="F183" s="13"/>
      <c r="G183" s="13"/>
      <c r="H183" s="106"/>
    </row>
    <row r="184" spans="1:8" ht="15.75" x14ac:dyDescent="0.25">
      <c r="A184" s="543" t="s">
        <v>129</v>
      </c>
      <c r="B184" s="13"/>
      <c r="C184" s="13"/>
      <c r="D184" s="13"/>
      <c r="E184" s="13"/>
      <c r="F184" s="13"/>
      <c r="G184" s="13"/>
      <c r="H184" s="106"/>
    </row>
    <row r="185" spans="1:8" x14ac:dyDescent="0.2">
      <c r="A185" s="105" t="s">
        <v>142</v>
      </c>
      <c r="B185" s="44">
        <f>'Design Regulator'!E84/1000</f>
        <v>1.8E-3</v>
      </c>
      <c r="C185" s="358" t="s">
        <v>208</v>
      </c>
      <c r="D185" s="13" t="s">
        <v>194</v>
      </c>
      <c r="E185" s="13"/>
      <c r="F185" s="13"/>
      <c r="G185" s="13"/>
      <c r="H185" s="106"/>
    </row>
    <row r="186" spans="1:8" x14ac:dyDescent="0.2">
      <c r="A186" s="105" t="s">
        <v>152</v>
      </c>
      <c r="B186" s="108">
        <f>4000/1000000</f>
        <v>4.0000000000000001E-3</v>
      </c>
      <c r="C186" s="204" t="s">
        <v>563</v>
      </c>
      <c r="D186" s="13" t="s">
        <v>193</v>
      </c>
      <c r="E186" s="13"/>
      <c r="F186" s="13"/>
      <c r="G186" s="13"/>
      <c r="H186" s="106"/>
    </row>
    <row r="187" spans="1:8" x14ac:dyDescent="0.2">
      <c r="A187" s="105" t="s">
        <v>141</v>
      </c>
      <c r="B187" s="135">
        <f>'Design Regulator'!E85/1000000000</f>
        <v>4.1000000000000003E-8</v>
      </c>
      <c r="C187" s="13" t="s">
        <v>269</v>
      </c>
      <c r="D187" s="13" t="s">
        <v>180</v>
      </c>
      <c r="E187" s="13"/>
      <c r="F187" s="13"/>
      <c r="G187" s="13"/>
      <c r="H187" s="106"/>
    </row>
    <row r="188" spans="1:8" x14ac:dyDescent="0.2">
      <c r="A188" s="105" t="s">
        <v>218</v>
      </c>
      <c r="B188" s="135">
        <f>'Design Regulator'!E86/1000000000</f>
        <v>6.7000000000000004E-9</v>
      </c>
      <c r="C188" s="13" t="s">
        <v>269</v>
      </c>
      <c r="D188" s="13" t="s">
        <v>219</v>
      </c>
      <c r="E188" s="13"/>
      <c r="F188" s="13"/>
      <c r="G188" s="13"/>
      <c r="H188" s="106"/>
    </row>
    <row r="189" spans="1:8" x14ac:dyDescent="0.2">
      <c r="A189" s="105" t="s">
        <v>236</v>
      </c>
      <c r="B189" s="135">
        <f>'Design Regulator'!E87/1000000000</f>
        <v>4.9E-9</v>
      </c>
      <c r="C189" s="13" t="s">
        <v>269</v>
      </c>
      <c r="D189" s="173" t="s">
        <v>722</v>
      </c>
      <c r="E189" s="13"/>
      <c r="F189" s="13"/>
      <c r="G189" s="13"/>
      <c r="H189" s="106"/>
    </row>
    <row r="190" spans="1:8" x14ac:dyDescent="0.2">
      <c r="A190" s="445" t="s">
        <v>729</v>
      </c>
      <c r="B190" s="135">
        <f>'Design Regulator'!E88/1000000000000</f>
        <v>1.8E-10</v>
      </c>
      <c r="C190" s="173" t="s">
        <v>34</v>
      </c>
      <c r="D190" s="173" t="s">
        <v>730</v>
      </c>
      <c r="E190" s="13"/>
      <c r="F190" s="13"/>
      <c r="G190" s="13"/>
      <c r="H190" s="106"/>
    </row>
    <row r="191" spans="1:8" x14ac:dyDescent="0.2">
      <c r="A191" s="105" t="s">
        <v>168</v>
      </c>
      <c r="B191" s="44">
        <f>'Design Regulator'!E89</f>
        <v>1.1000000000000001</v>
      </c>
      <c r="C191" s="358" t="s">
        <v>208</v>
      </c>
      <c r="D191" s="13" t="s">
        <v>731</v>
      </c>
      <c r="E191" s="13"/>
      <c r="F191" s="13"/>
      <c r="G191" s="13"/>
      <c r="H191" s="106"/>
    </row>
    <row r="192" spans="1:8" x14ac:dyDescent="0.2">
      <c r="A192" s="105" t="s">
        <v>140</v>
      </c>
      <c r="B192" s="44">
        <f>'Design Regulator'!E90</f>
        <v>33</v>
      </c>
      <c r="C192" s="13" t="s">
        <v>137</v>
      </c>
      <c r="D192" s="13" t="s">
        <v>182</v>
      </c>
      <c r="E192" s="13"/>
      <c r="F192" s="13"/>
      <c r="G192" s="13"/>
      <c r="H192" s="106"/>
    </row>
    <row r="193" spans="1:10" x14ac:dyDescent="0.2">
      <c r="A193" s="105" t="s">
        <v>170</v>
      </c>
      <c r="B193" s="44">
        <f>'Design Regulator'!E91</f>
        <v>1.9</v>
      </c>
      <c r="C193" s="13" t="s">
        <v>0</v>
      </c>
      <c r="D193" s="13" t="s">
        <v>183</v>
      </c>
      <c r="E193" s="13"/>
      <c r="F193" s="13"/>
      <c r="G193" s="13"/>
      <c r="H193" s="106"/>
    </row>
    <row r="194" spans="1:10" x14ac:dyDescent="0.2">
      <c r="A194" s="105" t="s">
        <v>235</v>
      </c>
      <c r="B194" s="121">
        <f>VthTop+Iout/GmTop</f>
        <v>2.5060606060606059</v>
      </c>
      <c r="C194" s="13" t="s">
        <v>0</v>
      </c>
      <c r="D194" s="13" t="s">
        <v>266</v>
      </c>
      <c r="E194" s="13"/>
      <c r="F194" s="13"/>
      <c r="G194" s="13"/>
      <c r="H194" s="106"/>
    </row>
    <row r="195" spans="1:10" x14ac:dyDescent="0.2">
      <c r="A195" s="105" t="s">
        <v>378</v>
      </c>
      <c r="B195" s="44">
        <f>'Design Regulator'!E92</f>
        <v>0.8</v>
      </c>
      <c r="C195" s="13" t="s">
        <v>0</v>
      </c>
      <c r="D195" s="13" t="s">
        <v>380</v>
      </c>
      <c r="E195" s="13"/>
      <c r="F195" s="13"/>
      <c r="G195" s="13"/>
      <c r="H195" s="106"/>
    </row>
    <row r="196" spans="1:10" x14ac:dyDescent="0.2">
      <c r="A196" s="105" t="s">
        <v>161</v>
      </c>
      <c r="B196" s="44">
        <f>'Design Regulator'!E93</f>
        <v>50</v>
      </c>
      <c r="C196" s="204" t="s">
        <v>381</v>
      </c>
      <c r="D196" s="13" t="s">
        <v>184</v>
      </c>
      <c r="E196" s="13"/>
      <c r="F196" s="13"/>
      <c r="G196" s="13"/>
      <c r="H196" s="106"/>
    </row>
    <row r="197" spans="1:10" ht="15.75" x14ac:dyDescent="0.25">
      <c r="A197" s="543" t="s">
        <v>130</v>
      </c>
      <c r="B197" s="13"/>
      <c r="C197" s="13"/>
      <c r="D197" s="13"/>
      <c r="E197" s="13"/>
      <c r="F197" s="13"/>
      <c r="G197" s="13"/>
      <c r="H197" s="106"/>
    </row>
    <row r="198" spans="1:10" x14ac:dyDescent="0.2">
      <c r="A198" s="105" t="s">
        <v>139</v>
      </c>
      <c r="B198" s="44">
        <f>'Design Regulator'!E96/1000</f>
        <v>1.8E-3</v>
      </c>
      <c r="C198" s="358" t="s">
        <v>208</v>
      </c>
      <c r="D198" s="13" t="s">
        <v>192</v>
      </c>
      <c r="E198" s="13"/>
      <c r="F198" s="13"/>
      <c r="G198" s="13"/>
      <c r="H198" s="106"/>
    </row>
    <row r="199" spans="1:10" x14ac:dyDescent="0.2">
      <c r="A199" s="105" t="s">
        <v>153</v>
      </c>
      <c r="B199" s="44">
        <f>4000/1000000</f>
        <v>4.0000000000000001E-3</v>
      </c>
      <c r="C199" s="204" t="s">
        <v>563</v>
      </c>
      <c r="D199" s="13" t="s">
        <v>185</v>
      </c>
      <c r="E199" s="13"/>
      <c r="F199" s="13"/>
      <c r="G199" s="13"/>
      <c r="H199" s="106"/>
    </row>
    <row r="200" spans="1:10" x14ac:dyDescent="0.2">
      <c r="A200" s="105" t="s">
        <v>138</v>
      </c>
      <c r="B200" s="135">
        <f>'Design Regulator'!E97/1000000000</f>
        <v>4.1000000000000003E-8</v>
      </c>
      <c r="C200" s="13" t="s">
        <v>269</v>
      </c>
      <c r="D200" s="204" t="s">
        <v>725</v>
      </c>
      <c r="E200" s="13"/>
      <c r="F200" s="13"/>
      <c r="G200" s="13"/>
      <c r="H200" s="106"/>
      <c r="J200">
        <f>RGateTop</f>
        <v>1.1000000000000001</v>
      </c>
    </row>
    <row r="201" spans="1:10" x14ac:dyDescent="0.2">
      <c r="A201" s="445" t="s">
        <v>723</v>
      </c>
      <c r="B201" s="135">
        <f>'Design Regulator'!E98/1000000000</f>
        <v>6.7000000000000004E-9</v>
      </c>
      <c r="C201" s="13" t="s">
        <v>269</v>
      </c>
      <c r="D201" s="204" t="s">
        <v>724</v>
      </c>
      <c r="E201" s="13"/>
      <c r="F201" s="13"/>
      <c r="G201" s="13"/>
      <c r="H201" s="106"/>
    </row>
    <row r="202" spans="1:10" x14ac:dyDescent="0.2">
      <c r="A202" s="445" t="s">
        <v>728</v>
      </c>
      <c r="B202" s="135">
        <f>'Design Regulator'!E99/1000000000000</f>
        <v>5.3000000000000003E-10</v>
      </c>
      <c r="C202" s="53" t="s">
        <v>34</v>
      </c>
      <c r="D202" s="204" t="s">
        <v>727</v>
      </c>
      <c r="E202" s="13"/>
      <c r="F202" s="13"/>
      <c r="G202" s="13"/>
      <c r="H202" s="106"/>
    </row>
    <row r="203" spans="1:10" x14ac:dyDescent="0.2">
      <c r="A203" s="105" t="s">
        <v>169</v>
      </c>
      <c r="B203" s="44">
        <v>1</v>
      </c>
      <c r="C203" s="358" t="s">
        <v>208</v>
      </c>
      <c r="D203" s="13" t="s">
        <v>181</v>
      </c>
      <c r="E203" s="13"/>
      <c r="F203" s="13"/>
      <c r="G203" s="13"/>
      <c r="H203" s="106"/>
    </row>
    <row r="204" spans="1:10" x14ac:dyDescent="0.2">
      <c r="A204" s="105" t="s">
        <v>144</v>
      </c>
      <c r="B204" s="44">
        <f>'Design Regulator'!E100</f>
        <v>0.8</v>
      </c>
      <c r="C204" s="13" t="s">
        <v>0</v>
      </c>
      <c r="D204" s="13" t="s">
        <v>186</v>
      </c>
      <c r="E204" s="13"/>
      <c r="F204" s="13"/>
      <c r="G204" s="13"/>
      <c r="H204" s="106"/>
    </row>
    <row r="205" spans="1:10" x14ac:dyDescent="0.2">
      <c r="A205" s="105" t="s">
        <v>145</v>
      </c>
      <c r="B205" s="135">
        <f>'Design Regulator'!E101/1000000000</f>
        <v>3.5999999999999998E-8</v>
      </c>
      <c r="C205" s="13" t="s">
        <v>269</v>
      </c>
      <c r="D205" s="13" t="s">
        <v>196</v>
      </c>
      <c r="E205" s="13"/>
      <c r="F205" s="13"/>
      <c r="G205" s="13"/>
      <c r="H205" s="106"/>
    </row>
    <row r="206" spans="1:10" x14ac:dyDescent="0.2">
      <c r="A206" s="105" t="s">
        <v>146</v>
      </c>
      <c r="B206" s="135">
        <v>4.0000000000000001E-8</v>
      </c>
      <c r="C206" s="13" t="s">
        <v>265</v>
      </c>
      <c r="D206" s="13" t="s">
        <v>187</v>
      </c>
      <c r="E206" s="13"/>
      <c r="F206" s="13"/>
      <c r="G206" s="13"/>
      <c r="H206" s="106"/>
    </row>
    <row r="207" spans="1:10" x14ac:dyDescent="0.2">
      <c r="A207" s="105" t="s">
        <v>160</v>
      </c>
      <c r="B207" s="44">
        <f>'Design Regulator'!E102</f>
        <v>50</v>
      </c>
      <c r="C207" s="204" t="s">
        <v>381</v>
      </c>
      <c r="D207" s="13" t="s">
        <v>184</v>
      </c>
      <c r="E207" s="13"/>
      <c r="F207" s="13"/>
      <c r="G207" s="13"/>
      <c r="H207" s="106"/>
    </row>
    <row r="208" spans="1:10" ht="15.75" x14ac:dyDescent="0.25">
      <c r="A208" s="543" t="s">
        <v>428</v>
      </c>
      <c r="B208" s="44"/>
      <c r="C208" s="13"/>
      <c r="D208" s="13"/>
      <c r="E208" s="13"/>
      <c r="F208" s="13"/>
      <c r="G208" s="13"/>
      <c r="H208" s="106"/>
    </row>
    <row r="209" spans="1:8" x14ac:dyDescent="0.2">
      <c r="A209" s="105" t="s">
        <v>365</v>
      </c>
      <c r="B209" s="44">
        <f>'Design Regulator'!E104</f>
        <v>0</v>
      </c>
      <c r="C209" s="13" t="s">
        <v>0</v>
      </c>
      <c r="D209" s="53" t="s">
        <v>368</v>
      </c>
      <c r="E209" s="13"/>
      <c r="F209" s="13"/>
      <c r="G209" s="13"/>
      <c r="H209" s="106"/>
    </row>
    <row r="210" spans="1:8" x14ac:dyDescent="0.2">
      <c r="A210" s="105" t="s">
        <v>366</v>
      </c>
      <c r="B210" s="44">
        <f>'Design Regulator'!E105/1000000000</f>
        <v>0</v>
      </c>
      <c r="C210" s="13" t="s">
        <v>269</v>
      </c>
      <c r="D210" s="53" t="s">
        <v>369</v>
      </c>
      <c r="E210" s="13"/>
      <c r="F210" s="13"/>
      <c r="G210" s="13"/>
      <c r="H210" s="106"/>
    </row>
    <row r="211" spans="1:8" x14ac:dyDescent="0.2">
      <c r="A211" s="105" t="s">
        <v>367</v>
      </c>
      <c r="B211" s="44">
        <v>0</v>
      </c>
      <c r="C211" s="13" t="s">
        <v>2</v>
      </c>
      <c r="D211" s="53" t="s">
        <v>370</v>
      </c>
      <c r="E211" s="13"/>
      <c r="F211" s="13"/>
      <c r="G211" s="13"/>
      <c r="H211" s="106"/>
    </row>
    <row r="212" spans="1:8" x14ac:dyDescent="0.2">
      <c r="A212" s="117" t="s">
        <v>209</v>
      </c>
      <c r="B212" s="13"/>
      <c r="C212" s="13"/>
      <c r="D212" s="13"/>
      <c r="E212" s="13"/>
      <c r="F212" s="13"/>
      <c r="G212" s="13"/>
      <c r="H212" s="106"/>
    </row>
    <row r="213" spans="1:8" x14ac:dyDescent="0.2">
      <c r="A213" s="105" t="s">
        <v>267</v>
      </c>
      <c r="B213" s="44">
        <v>30</v>
      </c>
      <c r="C213" s="13"/>
      <c r="D213" s="13"/>
      <c r="E213" s="13"/>
      <c r="F213" s="13"/>
      <c r="G213" s="13"/>
      <c r="H213" s="106"/>
    </row>
    <row r="214" spans="1:8" x14ac:dyDescent="0.2">
      <c r="A214" s="117" t="s">
        <v>149</v>
      </c>
      <c r="B214" s="13"/>
      <c r="C214" s="13"/>
      <c r="D214" s="13"/>
      <c r="E214" s="13"/>
      <c r="F214" s="13"/>
      <c r="G214" s="13"/>
      <c r="H214" s="106"/>
    </row>
    <row r="215" spans="1:8" x14ac:dyDescent="0.2">
      <c r="A215" s="105" t="s">
        <v>129</v>
      </c>
      <c r="B215" s="13"/>
      <c r="C215" s="13"/>
      <c r="D215" s="13"/>
      <c r="E215" s="13"/>
      <c r="F215" s="13"/>
      <c r="G215" s="13"/>
      <c r="H215" s="106"/>
    </row>
    <row r="216" spans="1:8" x14ac:dyDescent="0.2">
      <c r="A216" s="105" t="s">
        <v>166</v>
      </c>
      <c r="B216" s="124">
        <f>(QgdTop+QgsTop/2)*(RdsonDRT+RGateTop)/(Vdd-VspTop)</f>
        <v>3.8476638349514566E-9</v>
      </c>
      <c r="C216" s="13" t="s">
        <v>265</v>
      </c>
      <c r="D216" s="13"/>
      <c r="E216" s="13"/>
      <c r="F216" s="13"/>
      <c r="G216" s="13"/>
      <c r="H216" s="106"/>
    </row>
    <row r="217" spans="1:8" x14ac:dyDescent="0.2">
      <c r="A217" s="105" t="s">
        <v>167</v>
      </c>
      <c r="B217" s="124">
        <f>(QgdTop+QgsTop/2)*(RdsonDRT+RGateTop)/(VspTop)</f>
        <v>7.6674123337363983E-9</v>
      </c>
      <c r="C217" s="13" t="s">
        <v>265</v>
      </c>
      <c r="D217" s="13"/>
      <c r="E217" s="13"/>
      <c r="F217" s="13"/>
      <c r="G217" s="13"/>
      <c r="H217" s="106"/>
    </row>
    <row r="218" spans="1:8" x14ac:dyDescent="0.2">
      <c r="A218" s="105"/>
      <c r="B218" s="13"/>
      <c r="C218" s="13"/>
      <c r="D218" s="13"/>
      <c r="E218" s="13"/>
      <c r="F218" s="13"/>
      <c r="G218" s="13"/>
      <c r="H218" s="106"/>
    </row>
    <row r="219" spans="1:8" x14ac:dyDescent="0.2">
      <c r="A219" s="105"/>
      <c r="B219" s="13"/>
      <c r="C219" s="13"/>
      <c r="D219" s="13"/>
      <c r="E219" s="13"/>
      <c r="F219" s="13"/>
      <c r="G219" s="13"/>
      <c r="H219" s="106"/>
    </row>
    <row r="220" spans="1:8" x14ac:dyDescent="0.2">
      <c r="A220" s="166" t="s">
        <v>392</v>
      </c>
      <c r="B220" s="144" t="s">
        <v>8</v>
      </c>
      <c r="C220" s="62" t="s">
        <v>148</v>
      </c>
      <c r="D220" s="13"/>
      <c r="E220" s="13"/>
      <c r="F220" s="13"/>
      <c r="G220" s="13"/>
      <c r="H220" s="106"/>
    </row>
    <row r="221" spans="1:8" x14ac:dyDescent="0.2">
      <c r="A221" s="167" t="s">
        <v>207</v>
      </c>
      <c r="B221" s="467">
        <f>'Power Calculations'!AN9</f>
        <v>1.056</v>
      </c>
      <c r="C221" s="145" t="s">
        <v>208</v>
      </c>
      <c r="D221" s="13"/>
      <c r="E221" s="13"/>
      <c r="F221" s="13"/>
      <c r="G221" s="13"/>
      <c r="H221" s="106"/>
    </row>
    <row r="222" spans="1:8" x14ac:dyDescent="0.2">
      <c r="A222" s="167" t="s">
        <v>211</v>
      </c>
      <c r="B222" s="468">
        <f>B221*ThetaJaCtrl</f>
        <v>31.68</v>
      </c>
      <c r="C222" s="354" t="s">
        <v>442</v>
      </c>
      <c r="D222" s="13"/>
      <c r="E222" s="13"/>
      <c r="F222" s="13"/>
      <c r="G222" s="13"/>
      <c r="H222" s="106"/>
    </row>
    <row r="223" spans="1:8" x14ac:dyDescent="0.2">
      <c r="A223" s="167" t="s">
        <v>388</v>
      </c>
      <c r="B223" s="470">
        <f>(QgBot+QgTop)*Fsw+Iq</f>
        <v>4.4000000000000004E-2</v>
      </c>
      <c r="C223" s="53" t="s">
        <v>2</v>
      </c>
      <c r="D223" s="13"/>
      <c r="E223" s="13"/>
      <c r="F223" s="13"/>
      <c r="G223" s="13"/>
      <c r="H223" s="106"/>
    </row>
    <row r="224" spans="1:8" x14ac:dyDescent="0.2">
      <c r="A224" s="167" t="s">
        <v>389</v>
      </c>
      <c r="B224" s="469">
        <f>QrrBot*Fsw</f>
        <v>1.7999999999999999E-2</v>
      </c>
      <c r="C224" s="53" t="s">
        <v>2</v>
      </c>
      <c r="D224" s="13"/>
      <c r="E224" s="13"/>
      <c r="F224" s="13"/>
      <c r="G224" s="13"/>
      <c r="H224" s="106"/>
    </row>
    <row r="225" spans="1:8" x14ac:dyDescent="0.2">
      <c r="A225" s="167" t="s">
        <v>390</v>
      </c>
      <c r="B225" s="469">
        <f>C225/Vin</f>
        <v>2.5274999999999994E-4</v>
      </c>
      <c r="C225" s="53">
        <f>Deadtime*Fsw*(Ipp/2)*(VsdTop+VsdBot)</f>
        <v>6.0659999999999985E-3</v>
      </c>
      <c r="D225" s="13"/>
      <c r="E225" s="13"/>
      <c r="F225" s="13"/>
      <c r="G225" s="13"/>
      <c r="H225" s="106"/>
    </row>
    <row r="226" spans="1:8" x14ac:dyDescent="0.2">
      <c r="A226" s="167" t="s">
        <v>393</v>
      </c>
      <c r="B226" s="469">
        <f>SUM(B223:B225)</f>
        <v>6.2252750000000003E-2</v>
      </c>
      <c r="C226" s="53" t="s">
        <v>2</v>
      </c>
      <c r="D226" s="13"/>
      <c r="E226" s="13"/>
      <c r="F226" s="13"/>
      <c r="G226" s="13"/>
      <c r="H226" s="106"/>
    </row>
    <row r="227" spans="1:8" x14ac:dyDescent="0.2">
      <c r="A227" s="105"/>
      <c r="B227" s="13"/>
      <c r="C227" s="13"/>
      <c r="D227" s="13"/>
      <c r="E227" s="13"/>
      <c r="F227" s="13"/>
      <c r="G227" s="13"/>
      <c r="H227" s="106"/>
    </row>
    <row r="228" spans="1:8" x14ac:dyDescent="0.2">
      <c r="A228" s="105"/>
      <c r="B228" s="13"/>
      <c r="C228" s="13"/>
      <c r="D228" s="13"/>
      <c r="E228" s="13"/>
      <c r="F228" s="13"/>
      <c r="G228" s="13"/>
      <c r="H228" s="106"/>
    </row>
    <row r="229" spans="1:8" x14ac:dyDescent="0.2">
      <c r="A229" s="105"/>
      <c r="B229" s="13"/>
      <c r="C229" s="13"/>
      <c r="D229" s="13"/>
      <c r="E229" s="13"/>
      <c r="F229" s="13"/>
      <c r="G229" s="13"/>
      <c r="H229" s="106"/>
    </row>
    <row r="230" spans="1:8" x14ac:dyDescent="0.2">
      <c r="A230" s="105"/>
      <c r="B230" s="13"/>
      <c r="C230" s="13"/>
      <c r="D230" s="13"/>
      <c r="E230" s="13"/>
      <c r="F230" s="13"/>
      <c r="G230" s="13"/>
      <c r="H230" s="106"/>
    </row>
    <row r="231" spans="1:8" x14ac:dyDescent="0.2">
      <c r="A231" s="105"/>
      <c r="B231" s="13"/>
      <c r="C231" s="13"/>
      <c r="D231" s="13"/>
      <c r="E231" s="13"/>
      <c r="F231" s="13"/>
      <c r="G231" s="13"/>
      <c r="H231" s="106"/>
    </row>
    <row r="232" spans="1:8" x14ac:dyDescent="0.2">
      <c r="A232" s="117" t="s">
        <v>150</v>
      </c>
      <c r="B232" s="13"/>
      <c r="C232" s="13"/>
      <c r="D232" s="13"/>
      <c r="E232" s="13"/>
      <c r="F232" s="13"/>
      <c r="G232" s="13"/>
      <c r="H232" s="106"/>
    </row>
    <row r="233" spans="1:8" x14ac:dyDescent="0.2">
      <c r="A233" s="105" t="s">
        <v>206</v>
      </c>
      <c r="B233" s="13"/>
      <c r="C233" s="13"/>
      <c r="D233" s="13"/>
      <c r="E233" s="13"/>
      <c r="F233" s="13"/>
      <c r="G233" s="13"/>
      <c r="H233" s="106"/>
    </row>
    <row r="234" spans="1:8" ht="13.5" thickBot="1" x14ac:dyDescent="0.25">
      <c r="A234" s="109" t="s">
        <v>207</v>
      </c>
      <c r="B234" s="110"/>
      <c r="C234" s="110"/>
      <c r="D234" s="110"/>
      <c r="E234" s="110"/>
      <c r="F234" s="110"/>
      <c r="G234" s="110"/>
      <c r="H234" s="111"/>
    </row>
    <row r="235" spans="1:8" x14ac:dyDescent="0.2">
      <c r="A235" s="1"/>
      <c r="B235" s="1"/>
    </row>
    <row r="236" spans="1:8" ht="21.75" customHeight="1" thickBot="1" x14ac:dyDescent="0.3">
      <c r="A236" s="158" t="s">
        <v>382</v>
      </c>
      <c r="B236" s="13"/>
      <c r="C236" s="13"/>
      <c r="D236" s="13"/>
      <c r="E236" s="13"/>
      <c r="F236" s="13"/>
      <c r="G236" s="13"/>
      <c r="H236" s="13"/>
    </row>
    <row r="237" spans="1:8" x14ac:dyDescent="0.2">
      <c r="A237" s="160" t="str">
        <f>"RC1 = "&amp;'Design Regulator'!D73&amp;"kΩ"</f>
        <v>RC1 = 18kΩ</v>
      </c>
      <c r="B237" s="112" t="str">
        <f>'Design Regulator'!D73&amp;"kΩ"</f>
        <v>18kΩ</v>
      </c>
      <c r="C237" s="112"/>
      <c r="D237" s="168"/>
      <c r="E237" s="168"/>
      <c r="F237" s="168"/>
      <c r="G237" s="168"/>
      <c r="H237" s="113"/>
    </row>
    <row r="238" spans="1:8" x14ac:dyDescent="0.2">
      <c r="A238" s="105" t="str">
        <f>"LOUT = "&amp;'Design Regulator'!E17&amp;"uH"</f>
        <v>LOUT = 1.5uH</v>
      </c>
      <c r="B238" s="13" t="str">
        <f>'Design Regulator'!E17&amp;"µH"</f>
        <v>1.5µH</v>
      </c>
      <c r="C238" s="13"/>
      <c r="D238" s="13"/>
      <c r="E238" s="13"/>
      <c r="F238" s="13"/>
      <c r="G238" s="13"/>
      <c r="H238" s="106"/>
    </row>
    <row r="239" spans="1:8" x14ac:dyDescent="0.2">
      <c r="A239" s="105" t="str">
        <f>"Rdcr = "&amp;'Design Regulator'!E18&amp;"mΩ"</f>
        <v>Rdcr = 5mΩ</v>
      </c>
      <c r="B239" s="13" t="str">
        <f>'Design Regulator'!E18&amp;"mΩ"</f>
        <v>5mΩ</v>
      </c>
      <c r="C239" s="13"/>
      <c r="D239" s="13"/>
      <c r="E239" s="13"/>
      <c r="F239" s="13"/>
      <c r="G239" s="13"/>
      <c r="H239" s="106"/>
    </row>
    <row r="240" spans="1:8" x14ac:dyDescent="0.2">
      <c r="A240" s="444"/>
      <c r="B240" s="13"/>
      <c r="C240" s="13"/>
      <c r="D240" s="13"/>
      <c r="E240" s="13"/>
      <c r="F240" s="13"/>
      <c r="G240" s="13"/>
      <c r="H240" s="106"/>
    </row>
    <row r="241" spans="1:8" x14ac:dyDescent="0.2">
      <c r="A241" s="105" t="str">
        <f>"VOUT = "&amp;'Design Regulator'!E9&amp;"V"</f>
        <v>VOUT = 11.8V</v>
      </c>
      <c r="B241" s="13" t="str">
        <f>'Design Regulator'!E9&amp;"V"</f>
        <v>11.8V</v>
      </c>
      <c r="C241" s="13"/>
      <c r="D241" s="13"/>
      <c r="E241" s="13"/>
      <c r="F241" s="13"/>
      <c r="G241" s="13"/>
      <c r="H241" s="106"/>
    </row>
    <row r="242" spans="1:8" x14ac:dyDescent="0.2">
      <c r="A242" s="105"/>
      <c r="B242" s="13"/>
      <c r="C242" s="206" t="str">
        <f>M44</f>
        <v>22</v>
      </c>
      <c r="D242" s="206">
        <f>ROUNDUP('Design Regulator'!$E$32/C242,0)</f>
        <v>150</v>
      </c>
      <c r="E242" s="13"/>
      <c r="F242" s="13"/>
      <c r="G242" s="13"/>
      <c r="H242" s="106"/>
    </row>
    <row r="243" spans="1:8" x14ac:dyDescent="0.2">
      <c r="A243" s="105" t="str">
        <f>"COUT = "&amp;'Design Regulator'!$E$32&amp;"uF"</f>
        <v>COUT = 3300uF</v>
      </c>
      <c r="B243" s="13" t="str">
        <f>'Design Regulator'!$E$32&amp;"µF"</f>
        <v>3300µF</v>
      </c>
      <c r="C243" s="206" t="str">
        <f>C242</f>
        <v>22</v>
      </c>
      <c r="D243" s="206" t="str">
        <f>IF(D242=1, "",B245)</f>
        <v xml:space="preserve">150 x </v>
      </c>
      <c r="E243" s="13" t="str">
        <f>D243&amp;C243&amp;"µF"</f>
        <v>150 x 22µF</v>
      </c>
      <c r="F243" s="13" t="str">
        <f>C243&amp;"µF"</f>
        <v>22µF</v>
      </c>
      <c r="G243" s="13" t="str">
        <f>L66</f>
        <v>16V</v>
      </c>
      <c r="H243" s="106"/>
    </row>
    <row r="244" spans="1:8" x14ac:dyDescent="0.2">
      <c r="A244" s="353" t="s">
        <v>531</v>
      </c>
      <c r="B244" s="13" t="str">
        <f>C242&amp;"µF"</f>
        <v>22µF</v>
      </c>
      <c r="C244" s="13"/>
      <c r="D244" s="13"/>
      <c r="E244" s="13"/>
      <c r="F244" s="13"/>
      <c r="G244" s="13"/>
      <c r="H244" s="106"/>
    </row>
    <row r="245" spans="1:8" x14ac:dyDescent="0.2">
      <c r="A245" s="353" t="s">
        <v>532</v>
      </c>
      <c r="B245" s="206" t="str">
        <f>D242&amp;" x "</f>
        <v xml:space="preserve">150 x </v>
      </c>
      <c r="C245" s="13"/>
      <c r="D245" s="13"/>
      <c r="E245" s="13"/>
      <c r="F245" s="13"/>
      <c r="G245" s="13"/>
      <c r="H245" s="106"/>
    </row>
    <row r="246" spans="1:8" x14ac:dyDescent="0.2">
      <c r="A246" s="445"/>
      <c r="D246" s="13"/>
      <c r="E246" s="13"/>
      <c r="F246" s="13"/>
      <c r="G246" s="13"/>
      <c r="H246" s="106"/>
    </row>
    <row r="247" spans="1:8" x14ac:dyDescent="0.2">
      <c r="A247" s="444"/>
      <c r="B247" s="13"/>
      <c r="C247" s="13"/>
      <c r="D247" s="13"/>
      <c r="E247" s="13"/>
      <c r="F247" s="13"/>
      <c r="G247" s="13"/>
      <c r="H247" s="106"/>
    </row>
    <row r="248" spans="1:8" x14ac:dyDescent="0.2">
      <c r="A248" s="105" t="s">
        <v>410</v>
      </c>
      <c r="B248" s="13" t="str">
        <f>Cin*1000000&amp;"µF"</f>
        <v>660µF</v>
      </c>
      <c r="C248" s="13"/>
      <c r="D248" s="13"/>
      <c r="E248" s="13"/>
      <c r="F248" s="13"/>
      <c r="G248" s="13"/>
      <c r="H248" s="106"/>
    </row>
    <row r="249" spans="1:8" x14ac:dyDescent="0.2">
      <c r="A249" s="353" t="s">
        <v>530</v>
      </c>
      <c r="B249" s="13" t="str">
        <f>"4.7µF"</f>
        <v>4.7µF</v>
      </c>
      <c r="C249" s="13"/>
      <c r="D249" s="13"/>
      <c r="E249" s="13"/>
      <c r="F249" s="13"/>
      <c r="G249" s="13"/>
      <c r="H249" s="106"/>
    </row>
    <row r="250" spans="1:8" x14ac:dyDescent="0.2">
      <c r="A250" s="353" t="s">
        <v>529</v>
      </c>
      <c r="B250" s="206" t="str">
        <f>ROUNDUP(Cin*1000000/4.7,0)&amp;" x "</f>
        <v xml:space="preserve">141 x </v>
      </c>
      <c r="C250" s="13"/>
      <c r="D250" s="13"/>
      <c r="E250" s="13" t="str">
        <f>B250&amp;B249</f>
        <v>141 x 4.7µF</v>
      </c>
      <c r="F250" s="13"/>
      <c r="G250" s="13"/>
      <c r="H250" s="106"/>
    </row>
    <row r="251" spans="1:8" x14ac:dyDescent="0.2">
      <c r="A251" s="445"/>
      <c r="B251" s="206"/>
      <c r="C251" s="13"/>
      <c r="D251" s="13"/>
      <c r="E251" s="13"/>
      <c r="F251" s="13"/>
      <c r="G251" s="13"/>
      <c r="H251" s="106"/>
    </row>
    <row r="252" spans="1:8" x14ac:dyDescent="0.2">
      <c r="A252" s="353"/>
      <c r="B252" s="206"/>
      <c r="C252" s="13"/>
      <c r="D252" s="13"/>
      <c r="E252" s="13"/>
      <c r="F252" s="13"/>
      <c r="G252" s="13"/>
      <c r="H252" s="106"/>
    </row>
    <row r="253" spans="1:8" x14ac:dyDescent="0.2">
      <c r="A253" s="105" t="str">
        <f>"RC1 = "&amp;Rcea1_u/1000&amp;"kΩ"</f>
        <v>RC1 = 18kΩ</v>
      </c>
      <c r="B253" s="13" t="str">
        <f>ROUND(Rcea1_u/1000,2)&amp;"kΩ"</f>
        <v>18kΩ</v>
      </c>
      <c r="C253" s="13"/>
      <c r="D253" s="13"/>
      <c r="E253" s="13"/>
      <c r="F253" s="13"/>
      <c r="G253" s="13"/>
      <c r="H253" s="106"/>
    </row>
    <row r="254" spans="1:8" x14ac:dyDescent="0.2">
      <c r="A254" s="105" t="str">
        <f>"CC1 = "&amp;Cc1ea_u*10^9&amp;"nF"</f>
        <v>CC1 = 2.62nF</v>
      </c>
      <c r="B254" s="13" t="str">
        <f>ROUND(Cc1ea_u*10^9,1)&amp;"nF"</f>
        <v>2.6nF</v>
      </c>
      <c r="C254" s="13"/>
      <c r="D254" s="13"/>
      <c r="E254" s="13"/>
      <c r="F254" s="13"/>
      <c r="G254" s="13"/>
      <c r="H254" s="106"/>
    </row>
    <row r="255" spans="1:8" x14ac:dyDescent="0.2">
      <c r="A255" s="105" t="str">
        <f>"CC2 = "&amp;Cc2ea_u*10^12&amp;"pF"</f>
        <v>CC2 = 1pF</v>
      </c>
      <c r="B255" s="13" t="str">
        <f>ROUND(Cc2ea_u*10^12,0)&amp;"pF"</f>
        <v>1pF</v>
      </c>
      <c r="C255" s="13"/>
      <c r="D255" s="13"/>
      <c r="E255" s="13"/>
      <c r="F255" s="13"/>
      <c r="G255" s="13"/>
      <c r="H255" s="106"/>
    </row>
    <row r="256" spans="1:8" x14ac:dyDescent="0.2">
      <c r="A256" s="105" t="str">
        <f>"RC2 = "&amp;Rcea2_u&amp;"Ω"</f>
        <v>RC2 = 1800Ω</v>
      </c>
      <c r="B256" s="13" t="str">
        <f>ROUND(Rcea2_u,2)&amp;"Ω"</f>
        <v>1800Ω</v>
      </c>
      <c r="C256" s="13"/>
      <c r="D256" s="13"/>
      <c r="E256" s="13"/>
      <c r="F256" s="13"/>
      <c r="G256" s="13"/>
      <c r="H256" s="106"/>
    </row>
    <row r="257" spans="1:8" x14ac:dyDescent="0.2">
      <c r="A257" s="105" t="str">
        <f>"CC3 = "&amp;Cc3ea_u*10^12&amp;"pF"</f>
        <v>CC3 = 3300pF</v>
      </c>
      <c r="B257" s="13" t="str">
        <f>ROUND(Cc3ea_u*10^12,0)&amp;"pF"</f>
        <v>3300pF</v>
      </c>
      <c r="C257" s="13"/>
      <c r="D257" s="13"/>
      <c r="E257" s="13"/>
      <c r="F257" s="13"/>
      <c r="G257" s="13"/>
      <c r="H257" s="106"/>
    </row>
    <row r="258" spans="1:8" x14ac:dyDescent="0.2">
      <c r="A258" s="105" t="str">
        <f>"RFB1 = "&amp;'Design Regulator'!E62&amp;"kΩ"</f>
        <v>RFB1 = 18kΩ</v>
      </c>
      <c r="B258" s="13" t="str">
        <f>'Design Regulator'!E62&amp;"kΩ"</f>
        <v>18kΩ</v>
      </c>
      <c r="C258" s="13"/>
      <c r="D258" s="13"/>
      <c r="E258" s="13"/>
      <c r="F258" s="13"/>
      <c r="G258" s="13"/>
      <c r="H258" s="106"/>
    </row>
    <row r="259" spans="1:8" x14ac:dyDescent="0.2">
      <c r="A259" s="105" t="str">
        <f>"RFB2 = "&amp;IF(Vout=Vref,"OPEN",'Design Regulator'!E63&amp;"kΩ")</f>
        <v>RFB2 = 1.3kΩ</v>
      </c>
      <c r="B259" s="13" t="str">
        <f>IF(Vout=Vref,"OPEN",Rfb2_u/1000&amp;"kΩ")</f>
        <v>1.3kΩ</v>
      </c>
      <c r="C259" s="13"/>
      <c r="D259" s="13"/>
      <c r="E259" s="13"/>
      <c r="F259" s="13"/>
      <c r="G259" s="13"/>
      <c r="H259" s="106"/>
    </row>
    <row r="260" spans="1:8" x14ac:dyDescent="0.2">
      <c r="A260" s="105" t="str">
        <f>"Crossover Frequency = "&amp;ROUND('Bode Plots Calculations'!BK5,0)&amp;" kHz"</f>
        <v>Crossover Frequency = 48 kHz</v>
      </c>
      <c r="B260" s="13" t="str">
        <f>ROUND('Bode Plots Calculations'!BK5,0)&amp;" kHz"</f>
        <v>48 kHz</v>
      </c>
      <c r="C260" s="205">
        <f>'Bode Plots Calculations'!BK5</f>
        <v>48</v>
      </c>
      <c r="D260" s="13"/>
      <c r="E260" s="13"/>
      <c r="F260" s="13"/>
      <c r="G260" s="13"/>
      <c r="H260" s="106"/>
    </row>
    <row r="261" spans="1:8" x14ac:dyDescent="0.2">
      <c r="A261" s="105" t="str">
        <f>"Phase Margin = "&amp;ROUND('Bode Plots Calculations'!BK6,0)&amp;"°"</f>
        <v>Phase Margin = 81°</v>
      </c>
      <c r="B261" s="206" t="str">
        <f>ROUND('Bode Plots Calculations'!BK6,0)&amp;"°"</f>
        <v>81°</v>
      </c>
      <c r="C261" s="13"/>
      <c r="D261" s="358"/>
      <c r="E261" s="13"/>
      <c r="F261" s="13"/>
      <c r="G261" s="13"/>
      <c r="H261" s="106"/>
    </row>
    <row r="262" spans="1:8" x14ac:dyDescent="0.2">
      <c r="A262" s="444"/>
      <c r="B262" s="206"/>
      <c r="C262" s="13"/>
      <c r="D262" s="358"/>
      <c r="E262" s="13"/>
      <c r="F262" s="13"/>
      <c r="G262" s="13"/>
      <c r="H262" s="106"/>
    </row>
    <row r="263" spans="1:8" x14ac:dyDescent="0.2">
      <c r="A263" s="105"/>
      <c r="B263" s="13"/>
      <c r="C263" s="13"/>
      <c r="D263" s="13"/>
      <c r="E263" s="13"/>
      <c r="F263" s="13"/>
      <c r="G263" s="13"/>
      <c r="H263" s="106"/>
    </row>
    <row r="264" spans="1:8" x14ac:dyDescent="0.2">
      <c r="A264" s="105" t="str">
        <f>"Rilim(Rdson) = "&amp;Rilim_Rdson&amp;"Ω"</f>
        <v>Rilim(Rdson) = 187Ω</v>
      </c>
      <c r="B264" s="13" t="str">
        <f>IF(Rilim_Rdson&gt;999,Rilim_Rdson/1000&amp;"kΩ", Rilim_Rdson&amp;"Ω")</f>
        <v>187Ω</v>
      </c>
      <c r="C264" s="13">
        <f>IF(Rilim_Rdson&gt;999,Rilim_Rdson/1000, Rilim_Rdson)</f>
        <v>187</v>
      </c>
      <c r="D264" s="13"/>
      <c r="E264" s="13"/>
      <c r="F264" s="13"/>
      <c r="G264" s="13"/>
      <c r="H264" s="106"/>
    </row>
    <row r="265" spans="1:8" x14ac:dyDescent="0.2">
      <c r="A265" s="105" t="str">
        <f>"Rilim(shunt) = "&amp;Rilim_shunt&amp;"Ω"</f>
        <v>Rilim(shunt) = 422Ω</v>
      </c>
      <c r="B265" s="13" t="str">
        <f>IF('Standard Value Calculator'!S22&gt;999, 'Standard Value Calculator'!S22/1000&amp;"kΩ", 'Standard Value Calculator'!S22&amp;"Ω")</f>
        <v>422Ω</v>
      </c>
      <c r="C265" s="13">
        <f>IF('Standard Value Calculator'!S22&gt;999, 'Standard Value Calculator'!S22/1000, 'Standard Value Calculator'!S22)</f>
        <v>422</v>
      </c>
      <c r="D265" s="13"/>
      <c r="E265" s="13"/>
      <c r="F265" s="13"/>
      <c r="G265" s="13"/>
      <c r="H265" s="106"/>
    </row>
    <row r="266" spans="1:8" x14ac:dyDescent="0.2">
      <c r="A266" s="105" t="s">
        <v>701</v>
      </c>
      <c r="B266" s="13" t="str">
        <f>Cilim_ideal&amp;"pF"</f>
        <v>27pF</v>
      </c>
      <c r="C266" s="527">
        <f>Cilim_ideal</f>
        <v>27</v>
      </c>
      <c r="D266" s="13"/>
      <c r="E266" s="13"/>
      <c r="F266" s="13"/>
      <c r="G266" s="13"/>
      <c r="H266" s="106"/>
    </row>
    <row r="267" spans="1:8" x14ac:dyDescent="0.2">
      <c r="A267" s="444"/>
      <c r="B267" s="13"/>
      <c r="C267" s="13"/>
      <c r="D267" s="13"/>
      <c r="E267" s="13"/>
      <c r="F267" s="13"/>
      <c r="G267" s="13"/>
      <c r="H267" s="106"/>
    </row>
    <row r="268" spans="1:8" x14ac:dyDescent="0.2">
      <c r="A268" s="445" t="s">
        <v>602</v>
      </c>
      <c r="B268" s="13" t="str">
        <f>IF(RDSON_sense=1, 'Variable Management'!B264,'Variable Management'!B265)</f>
        <v>187Ω</v>
      </c>
      <c r="C268" s="13">
        <f>IF(RDSON_sense=1, 'Variable Management'!C264,'Variable Management'!C265)</f>
        <v>187</v>
      </c>
      <c r="D268" s="13"/>
      <c r="E268" s="13"/>
      <c r="F268" s="13"/>
      <c r="G268" s="13"/>
      <c r="H268" s="106"/>
    </row>
    <row r="269" spans="1:8" x14ac:dyDescent="0.2">
      <c r="A269" s="445" t="str">
        <f>IF(RDSON_sense=1, "", "Rs")</f>
        <v/>
      </c>
      <c r="B269" s="13" t="str">
        <f>IF(RDSON_sense=1, "", Rshunt*1000&amp;"mΩ")</f>
        <v/>
      </c>
      <c r="C269" s="13"/>
      <c r="D269" s="13" t="s">
        <v>703</v>
      </c>
      <c r="E269" s="13"/>
      <c r="F269" s="13"/>
      <c r="G269" s="13"/>
      <c r="H269" s="106"/>
    </row>
    <row r="270" spans="1:8" x14ac:dyDescent="0.2">
      <c r="A270" s="445" t="str">
        <f>IF(RDSON_sense=1, "Cs", "")</f>
        <v>Cs</v>
      </c>
      <c r="B270" s="13" t="str">
        <f>IF(RDSON_sense=1, IF(Cilim_ideal&lt;3.3, "N/A", Cilim_ideal&amp;"pF"), "")</f>
        <v>27pF</v>
      </c>
      <c r="C270" s="537" t="str">
        <f>IF(RDSON_sense=1, IF(Cilim_ideal&lt;3.3, "N/A", Cilim_ideal&amp;""), "")</f>
        <v>27</v>
      </c>
      <c r="D270" s="13" t="s">
        <v>704</v>
      </c>
      <c r="E270" s="13"/>
      <c r="F270" s="13"/>
      <c r="G270" s="13"/>
      <c r="H270" s="106"/>
    </row>
    <row r="271" spans="1:8" x14ac:dyDescent="0.2">
      <c r="A271" s="444"/>
      <c r="B271" s="13"/>
      <c r="C271" s="13"/>
      <c r="D271" s="13"/>
      <c r="E271" s="13"/>
      <c r="F271" s="13"/>
      <c r="G271" s="13"/>
      <c r="H271" s="106"/>
    </row>
    <row r="272" spans="1:8" x14ac:dyDescent="0.2">
      <c r="A272" s="444"/>
      <c r="B272" s="13"/>
      <c r="C272" s="13"/>
      <c r="D272" s="13"/>
      <c r="E272" s="13"/>
      <c r="F272" s="13"/>
      <c r="G272" s="13"/>
      <c r="H272" s="106"/>
    </row>
    <row r="273" spans="1:8" x14ac:dyDescent="0.2">
      <c r="A273" s="105" t="s">
        <v>429</v>
      </c>
      <c r="B273" s="13" t="str">
        <f>'Standard Value Calculator'!S24/1000&amp;"kΩ"</f>
        <v>0kΩ</v>
      </c>
      <c r="C273" s="13">
        <f>'Standard Value Calculator'!S24/1000</f>
        <v>0</v>
      </c>
      <c r="D273" s="13"/>
      <c r="E273" s="13"/>
      <c r="G273" s="13"/>
      <c r="H273" s="106"/>
    </row>
    <row r="274" spans="1:8" x14ac:dyDescent="0.2">
      <c r="A274" s="353" t="s">
        <v>524</v>
      </c>
      <c r="B274" s="204" t="s">
        <v>525</v>
      </c>
      <c r="C274" s="13"/>
      <c r="D274" s="13"/>
      <c r="E274" s="13"/>
      <c r="F274" s="13"/>
      <c r="G274" s="13"/>
      <c r="H274" s="106"/>
    </row>
    <row r="275" spans="1:8" x14ac:dyDescent="0.2">
      <c r="A275" s="105" t="s">
        <v>296</v>
      </c>
      <c r="B275" s="13" t="str">
        <f>'Standard Value Calculator'!S4/1000&amp;"kΩ"</f>
        <v>20kΩ</v>
      </c>
      <c r="C275" s="13"/>
      <c r="D275" s="13"/>
      <c r="E275" s="13"/>
      <c r="F275" s="13"/>
      <c r="G275" s="13"/>
      <c r="H275" s="106"/>
    </row>
    <row r="276" spans="1:8" x14ac:dyDescent="0.2">
      <c r="A276" s="105" t="s">
        <v>295</v>
      </c>
      <c r="B276" s="13" t="str">
        <f>'Standard Value Calculator'!B4*1000000000 &amp;"nF"</f>
        <v>220nF</v>
      </c>
      <c r="C276" s="13"/>
      <c r="D276" s="13"/>
      <c r="E276" s="13"/>
      <c r="F276" s="13"/>
      <c r="G276" s="13"/>
      <c r="H276" s="106"/>
    </row>
    <row r="277" spans="1:8" x14ac:dyDescent="0.2">
      <c r="A277" s="353" t="s">
        <v>526</v>
      </c>
      <c r="B277" s="204" t="s">
        <v>564</v>
      </c>
      <c r="C277" s="13"/>
      <c r="D277" s="13"/>
      <c r="E277" s="13"/>
      <c r="F277" s="13"/>
      <c r="G277" s="13"/>
      <c r="H277" s="106"/>
    </row>
    <row r="278" spans="1:8" x14ac:dyDescent="0.2">
      <c r="A278" s="105" t="s">
        <v>358</v>
      </c>
      <c r="B278" s="13" t="str">
        <f>IF(B47="y","","|")</f>
        <v>|</v>
      </c>
      <c r="C278" s="13"/>
      <c r="D278" s="13"/>
      <c r="E278" s="13"/>
      <c r="F278" s="13"/>
      <c r="G278" s="13"/>
      <c r="H278" s="106"/>
    </row>
    <row r="279" spans="1:8" x14ac:dyDescent="0.2">
      <c r="A279" s="105" t="s">
        <v>385</v>
      </c>
      <c r="B279" s="13" t="str">
        <f>'Design Regulator'!$E$10&amp;"A"</f>
        <v>20A</v>
      </c>
      <c r="C279" s="13"/>
      <c r="D279" s="13"/>
      <c r="E279" s="13"/>
      <c r="F279" s="13"/>
      <c r="G279" s="13"/>
      <c r="H279" s="106"/>
    </row>
    <row r="280" spans="1:8" x14ac:dyDescent="0.2">
      <c r="A280" s="105" t="s">
        <v>281</v>
      </c>
      <c r="B280" s="13" t="str">
        <f>Vin&amp;"V"</f>
        <v>24V</v>
      </c>
      <c r="C280" s="13"/>
      <c r="D280" s="13"/>
      <c r="E280" s="13"/>
      <c r="F280" s="13"/>
      <c r="G280" s="13"/>
      <c r="H280" s="106"/>
    </row>
    <row r="281" spans="1:8" x14ac:dyDescent="0.2">
      <c r="A281" s="445" t="s">
        <v>709</v>
      </c>
      <c r="B281" s="13" t="str">
        <f>Vinmin&amp;"V to "&amp;Vinmax&amp;"V"</f>
        <v>24V to 24V</v>
      </c>
      <c r="C281" s="13"/>
      <c r="D281" s="13"/>
      <c r="E281" s="13"/>
      <c r="F281" s="13"/>
      <c r="G281" s="13"/>
      <c r="H281" s="106"/>
    </row>
    <row r="282" spans="1:8" x14ac:dyDescent="0.2">
      <c r="A282" s="445"/>
      <c r="B282" s="13"/>
      <c r="C282" s="13"/>
      <c r="D282" s="13"/>
      <c r="E282" s="13"/>
      <c r="F282" s="13"/>
      <c r="G282" s="13"/>
      <c r="H282" s="106"/>
    </row>
    <row r="283" spans="1:8" x14ac:dyDescent="0.2">
      <c r="A283" s="105"/>
      <c r="B283" s="13"/>
      <c r="C283" s="13"/>
      <c r="D283" s="13"/>
      <c r="E283" s="13"/>
      <c r="F283" s="13"/>
      <c r="G283" s="13"/>
      <c r="H283" s="106"/>
    </row>
    <row r="284" spans="1:8" x14ac:dyDescent="0.2">
      <c r="A284" s="105" t="s">
        <v>394</v>
      </c>
      <c r="B284" s="13">
        <v>12</v>
      </c>
      <c r="C284" s="13"/>
      <c r="D284" s="13"/>
      <c r="E284" s="13"/>
      <c r="F284" s="13"/>
      <c r="G284" s="13"/>
      <c r="H284" s="106"/>
    </row>
    <row r="285" spans="1:8" x14ac:dyDescent="0.2">
      <c r="A285" s="105" t="s">
        <v>395</v>
      </c>
      <c r="B285" s="13">
        <v>18</v>
      </c>
      <c r="C285" s="13"/>
      <c r="D285" s="13"/>
      <c r="E285" s="13"/>
      <c r="F285" s="13"/>
      <c r="G285" s="13"/>
      <c r="H285" s="106"/>
    </row>
    <row r="286" spans="1:8" x14ac:dyDescent="0.2">
      <c r="A286" s="105" t="s">
        <v>396</v>
      </c>
      <c r="B286" s="13">
        <v>14</v>
      </c>
      <c r="C286" s="13"/>
      <c r="D286" s="13"/>
      <c r="E286" s="13"/>
      <c r="F286" s="13"/>
      <c r="G286" s="13"/>
      <c r="H286" s="106"/>
    </row>
    <row r="287" spans="1:8" x14ac:dyDescent="0.2">
      <c r="A287" s="105" t="s">
        <v>397</v>
      </c>
      <c r="B287" s="13">
        <v>6</v>
      </c>
      <c r="C287" s="13"/>
      <c r="D287" s="13"/>
      <c r="E287" s="13"/>
      <c r="F287" s="13"/>
      <c r="G287" s="13"/>
      <c r="H287" s="106"/>
    </row>
    <row r="288" spans="1:8" x14ac:dyDescent="0.2">
      <c r="A288" s="105" t="s">
        <v>398</v>
      </c>
      <c r="B288" s="13">
        <v>7</v>
      </c>
      <c r="C288" s="13"/>
      <c r="D288" s="13"/>
      <c r="E288" s="13"/>
      <c r="F288" s="13"/>
      <c r="G288" s="13"/>
      <c r="H288" s="106"/>
    </row>
    <row r="289" spans="1:8" x14ac:dyDescent="0.2">
      <c r="A289" s="105" t="s">
        <v>399</v>
      </c>
      <c r="B289" s="13">
        <v>11</v>
      </c>
      <c r="C289" s="13"/>
      <c r="D289" s="13"/>
      <c r="E289" s="13"/>
      <c r="F289" s="13"/>
      <c r="G289" s="13"/>
      <c r="H289" s="106"/>
    </row>
    <row r="290" spans="1:8" x14ac:dyDescent="0.2">
      <c r="A290" s="105" t="s">
        <v>400</v>
      </c>
      <c r="B290" s="13">
        <v>1</v>
      </c>
      <c r="C290" s="13"/>
      <c r="D290" s="13"/>
      <c r="E290" s="13"/>
      <c r="F290" s="13"/>
      <c r="G290" s="13"/>
      <c r="H290" s="106"/>
    </row>
    <row r="291" spans="1:8" x14ac:dyDescent="0.2">
      <c r="A291" s="105" t="s">
        <v>401</v>
      </c>
      <c r="B291" s="13">
        <v>5</v>
      </c>
      <c r="C291" s="13"/>
      <c r="D291" s="13"/>
      <c r="E291" s="13"/>
      <c r="F291" s="13"/>
      <c r="G291" s="13"/>
      <c r="H291" s="106"/>
    </row>
    <row r="292" spans="1:8" x14ac:dyDescent="0.2">
      <c r="A292" s="105" t="s">
        <v>402</v>
      </c>
      <c r="B292" s="13">
        <v>13</v>
      </c>
      <c r="C292" s="13"/>
      <c r="D292" s="13"/>
      <c r="E292" s="13"/>
      <c r="F292" s="13"/>
      <c r="G292" s="13"/>
      <c r="H292" s="106"/>
    </row>
    <row r="293" spans="1:8" x14ac:dyDescent="0.2">
      <c r="A293" s="105" t="s">
        <v>403</v>
      </c>
      <c r="B293" s="13">
        <v>4</v>
      </c>
      <c r="C293" s="13"/>
      <c r="D293" s="13"/>
      <c r="E293" s="13"/>
      <c r="F293" s="13"/>
      <c r="G293" s="13"/>
      <c r="H293" s="106"/>
    </row>
    <row r="294" spans="1:8" x14ac:dyDescent="0.2">
      <c r="A294" s="105" t="s">
        <v>404</v>
      </c>
      <c r="B294" s="13">
        <v>3</v>
      </c>
      <c r="C294" s="13"/>
      <c r="D294" s="13"/>
      <c r="E294" s="13"/>
      <c r="F294" s="13"/>
      <c r="G294" s="13"/>
      <c r="H294" s="106"/>
    </row>
    <row r="295" spans="1:8" x14ac:dyDescent="0.2">
      <c r="A295" s="105" t="s">
        <v>405</v>
      </c>
      <c r="B295" s="13">
        <v>24</v>
      </c>
      <c r="C295" s="13"/>
      <c r="D295" s="13"/>
      <c r="E295" s="13"/>
      <c r="F295" s="13"/>
      <c r="G295" s="13"/>
      <c r="H295" s="106"/>
    </row>
    <row r="296" spans="1:8" x14ac:dyDescent="0.2">
      <c r="A296" s="105" t="s">
        <v>406</v>
      </c>
      <c r="B296" s="13">
        <v>23</v>
      </c>
      <c r="C296" s="13"/>
      <c r="D296" s="13"/>
      <c r="E296" s="13"/>
      <c r="F296" s="13"/>
      <c r="G296" s="13"/>
      <c r="H296" s="106"/>
    </row>
    <row r="297" spans="1:8" x14ac:dyDescent="0.2">
      <c r="A297" s="105" t="s">
        <v>407</v>
      </c>
      <c r="B297" s="13">
        <v>15</v>
      </c>
      <c r="C297" s="13"/>
      <c r="D297" s="13"/>
      <c r="E297" s="13"/>
      <c r="F297" s="13"/>
      <c r="G297" s="13"/>
      <c r="H297" s="106"/>
    </row>
    <row r="298" spans="1:8" x14ac:dyDescent="0.2">
      <c r="A298" s="105" t="s">
        <v>408</v>
      </c>
      <c r="B298" s="13">
        <v>16</v>
      </c>
      <c r="C298" s="13"/>
      <c r="D298" s="13"/>
      <c r="E298" s="13"/>
      <c r="F298" s="13"/>
      <c r="G298" s="13"/>
      <c r="H298" s="106"/>
    </row>
    <row r="299" spans="1:8" x14ac:dyDescent="0.2">
      <c r="A299" s="105" t="s">
        <v>409</v>
      </c>
      <c r="B299" s="13">
        <v>17</v>
      </c>
      <c r="C299" s="13"/>
      <c r="D299" s="13"/>
      <c r="E299" s="13"/>
      <c r="F299" s="13"/>
      <c r="G299" s="13"/>
      <c r="H299" s="106"/>
    </row>
    <row r="300" spans="1:8" x14ac:dyDescent="0.2">
      <c r="A300" t="s">
        <v>427</v>
      </c>
      <c r="B300">
        <v>2</v>
      </c>
      <c r="H300" s="106"/>
    </row>
    <row r="301" spans="1:8" x14ac:dyDescent="0.2">
      <c r="A301" s="202" t="s">
        <v>424</v>
      </c>
      <c r="B301">
        <v>8</v>
      </c>
      <c r="H301" s="106"/>
    </row>
    <row r="302" spans="1:8" x14ac:dyDescent="0.2">
      <c r="A302" s="202" t="s">
        <v>425</v>
      </c>
      <c r="B302">
        <v>9</v>
      </c>
      <c r="H302" s="106"/>
    </row>
    <row r="303" spans="1:8" ht="13.5" thickBot="1" x14ac:dyDescent="0.25">
      <c r="A303" s="208" t="s">
        <v>426</v>
      </c>
      <c r="B303" s="110">
        <v>10</v>
      </c>
      <c r="C303" s="110"/>
      <c r="D303" s="110"/>
      <c r="E303" s="110"/>
      <c r="F303" s="110"/>
      <c r="G303" s="110"/>
      <c r="H303" s="111"/>
    </row>
    <row r="307" spans="1:2" x14ac:dyDescent="0.2">
      <c r="A307" s="198"/>
    </row>
    <row r="308" spans="1:2" x14ac:dyDescent="0.2">
      <c r="A308" s="524" t="s">
        <v>696</v>
      </c>
      <c r="B308" s="525" t="str">
        <f>ROUND('Power Calculations'!AU209*1,1)&amp;"%"</f>
        <v>96.2%</v>
      </c>
    </row>
    <row r="309" spans="1:2" x14ac:dyDescent="0.2">
      <c r="A309" s="524" t="s">
        <v>697</v>
      </c>
      <c r="B309" s="64" t="str">
        <f>ROUND('Power Calculations'!AU109*1,1)&amp;"%"</f>
        <v>96.5%</v>
      </c>
    </row>
    <row r="346" spans="1:1" x14ac:dyDescent="0.2">
      <c r="A346" t="s">
        <v>316</v>
      </c>
    </row>
    <row r="347" spans="1:1" x14ac:dyDescent="0.2">
      <c r="A347" t="s">
        <v>317</v>
      </c>
    </row>
    <row r="348" spans="1:1" x14ac:dyDescent="0.2">
      <c r="A348" t="s">
        <v>318</v>
      </c>
    </row>
    <row r="349" spans="1:1" x14ac:dyDescent="0.2">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219075</xdr:colOff>
                <xdr:row>10</xdr:row>
                <xdr:rowOff>114300</xdr:rowOff>
              </from>
              <to>
                <xdr:col>16</xdr:col>
                <xdr:colOff>28575</xdr:colOff>
                <xdr:row>31</xdr:row>
                <xdr:rowOff>123825</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2.75" x14ac:dyDescent="0.2"/>
  <cols>
    <col min="1" max="1" width="17.28515625" customWidth="1"/>
    <col min="2" max="2" width="12" bestFit="1" customWidth="1"/>
    <col min="3" max="5" width="12.42578125" bestFit="1" customWidth="1"/>
    <col min="8" max="8" width="12.42578125" bestFit="1" customWidth="1"/>
    <col min="14" max="14" width="11.85546875" customWidth="1"/>
    <col min="17" max="17" width="12.140625" customWidth="1"/>
    <col min="18" max="18" width="12.42578125" bestFit="1" customWidth="1"/>
    <col min="19" max="19" width="15.42578125" customWidth="1"/>
  </cols>
  <sheetData>
    <row r="2" spans="1:20" x14ac:dyDescent="0.2">
      <c r="A2" t="s">
        <v>307</v>
      </c>
      <c r="B2" t="s">
        <v>295</v>
      </c>
      <c r="C2" t="s">
        <v>54</v>
      </c>
      <c r="D2" t="s">
        <v>55</v>
      </c>
      <c r="E2" t="s">
        <v>57</v>
      </c>
      <c r="F2" t="s">
        <v>36</v>
      </c>
      <c r="G2" t="s">
        <v>127</v>
      </c>
      <c r="H2" t="s">
        <v>701</v>
      </c>
      <c r="I2" t="s">
        <v>321</v>
      </c>
      <c r="J2" t="s">
        <v>305</v>
      </c>
      <c r="K2" t="s">
        <v>325</v>
      </c>
      <c r="L2" t="s">
        <v>304</v>
      </c>
      <c r="M2" t="s">
        <v>315</v>
      </c>
      <c r="N2" t="s">
        <v>359</v>
      </c>
    </row>
    <row r="3" spans="1:20" x14ac:dyDescent="0.2">
      <c r="A3" t="s">
        <v>310</v>
      </c>
      <c r="B3">
        <f>Css</f>
        <v>2.2499999999999999E-7</v>
      </c>
      <c r="C3">
        <f>Cc1ea</f>
        <v>6.3156723521331912E-9</v>
      </c>
      <c r="D3">
        <f>Cc2ea</f>
        <v>4.0326500181586811E-11</v>
      </c>
      <c r="E3">
        <f>Cc3ea</f>
        <v>3.7856720678767259E-9</v>
      </c>
      <c r="F3">
        <f>Cout</f>
        <v>3.3E-3</v>
      </c>
      <c r="G3">
        <f>Cin</f>
        <v>6.6E-4</v>
      </c>
      <c r="H3">
        <f>Cilim</f>
        <v>2.9814171304465863E-11</v>
      </c>
      <c r="I3">
        <f>Cdd</f>
        <v>0</v>
      </c>
      <c r="J3">
        <f>Csb</f>
        <v>0</v>
      </c>
      <c r="K3">
        <f>Csby</f>
        <v>100</v>
      </c>
      <c r="L3">
        <f>Cby</f>
        <v>0</v>
      </c>
      <c r="M3">
        <f>Cb</f>
        <v>0</v>
      </c>
      <c r="N3" t="e">
        <f>'Variable Management'!#REF!</f>
        <v>#REF!</v>
      </c>
      <c r="Q3" t="s">
        <v>312</v>
      </c>
      <c r="R3" t="s">
        <v>314</v>
      </c>
      <c r="S3" s="2" t="s">
        <v>309</v>
      </c>
    </row>
    <row r="4" spans="1:20" x14ac:dyDescent="0.2">
      <c r="A4" s="7" t="s">
        <v>309</v>
      </c>
      <c r="B4" s="7">
        <f>SUM(B6:B158)/1000000000000</f>
        <v>2.2000000000000001E-7</v>
      </c>
      <c r="C4" s="7">
        <f t="shared" ref="C4:H4" si="0">SUM(C6:C158)/1000000000000</f>
        <v>6.7999999999999997E-9</v>
      </c>
      <c r="D4" s="7">
        <f t="shared" si="0"/>
        <v>3.9000000000000001E-11</v>
      </c>
      <c r="E4" s="7">
        <f t="shared" si="0"/>
        <v>3.9000000000000002E-9</v>
      </c>
      <c r="F4" s="7">
        <f t="shared" si="0"/>
        <v>3.3E-3</v>
      </c>
      <c r="G4" s="7">
        <f t="shared" si="0"/>
        <v>6.8000000000000005E-4</v>
      </c>
      <c r="H4" s="7">
        <f t="shared" si="0"/>
        <v>2.7E-11</v>
      </c>
      <c r="I4" s="7">
        <f t="shared" ref="I4:N4" si="1">IF(I3="OPEN","OPEN",SUM(I6:I158)/1000000000000)</f>
        <v>0</v>
      </c>
      <c r="J4" s="7">
        <f t="shared" si="1"/>
        <v>0</v>
      </c>
      <c r="K4" s="7">
        <f t="shared" si="1"/>
        <v>0</v>
      </c>
      <c r="L4" s="7">
        <f t="shared" si="1"/>
        <v>0</v>
      </c>
      <c r="M4" s="7">
        <f t="shared" si="1"/>
        <v>0</v>
      </c>
      <c r="N4" s="7" t="e">
        <f t="shared" si="1"/>
        <v>#REF!</v>
      </c>
      <c r="Q4" t="s">
        <v>313</v>
      </c>
      <c r="R4">
        <f>Rfadj</f>
        <v>20000</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20000</v>
      </c>
      <c r="T4" s="65" t="s">
        <v>539</v>
      </c>
    </row>
    <row r="5" spans="1:20" x14ac:dyDescent="0.2">
      <c r="A5" t="s">
        <v>308</v>
      </c>
      <c r="Q5" s="203" t="s">
        <v>595</v>
      </c>
      <c r="R5">
        <f>Rilim_Rdson_ideal</f>
        <v>188.59520000000001</v>
      </c>
      <c r="S5" s="2">
        <f t="shared" si="2"/>
        <v>187</v>
      </c>
      <c r="T5" s="65" t="s">
        <v>539</v>
      </c>
    </row>
    <row r="6" spans="1:20" x14ac:dyDescent="0.2">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203" t="s">
        <v>595</v>
      </c>
      <c r="R6">
        <f>Rilim_Rdson_ideal</f>
        <v>188.59520000000001</v>
      </c>
      <c r="S6" s="2">
        <f t="shared" si="2"/>
        <v>187</v>
      </c>
      <c r="T6" s="65" t="s">
        <v>539</v>
      </c>
    </row>
    <row r="7" spans="1:20" x14ac:dyDescent="0.2">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x14ac:dyDescent="0.2">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15887.435840660128</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15800</v>
      </c>
      <c r="T8" s="65" t="s">
        <v>539</v>
      </c>
    </row>
    <row r="9" spans="1:20" x14ac:dyDescent="0.2">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2615.12350317037</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2610</v>
      </c>
      <c r="T9" s="65" t="s">
        <v>539</v>
      </c>
    </row>
    <row r="10" spans="1:20" x14ac:dyDescent="0.2">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18000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17800</v>
      </c>
      <c r="T10" s="65" t="s">
        <v>539</v>
      </c>
    </row>
    <row r="11" spans="1:20" x14ac:dyDescent="0.2">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1309.0909090909092</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1300</v>
      </c>
      <c r="T11" s="65" t="s">
        <v>539</v>
      </c>
    </row>
    <row r="12" spans="1:20" x14ac:dyDescent="0.2">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27</v>
      </c>
      <c r="S12" s="2"/>
    </row>
    <row r="13" spans="1:20" x14ac:dyDescent="0.2">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2.9814171304465863E-11</v>
      </c>
      <c r="S13" s="2"/>
    </row>
    <row r="14" spans="1:20" x14ac:dyDescent="0.2">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0.21</v>
      </c>
      <c r="S14" s="2"/>
    </row>
    <row r="15" spans="1:20" x14ac:dyDescent="0.2">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x14ac:dyDescent="0.2">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203" t="s">
        <v>527</v>
      </c>
      <c r="R16">
        <f>Ruvlo1</f>
        <v>2000</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2000</v>
      </c>
      <c r="T16" s="65" t="s">
        <v>493</v>
      </c>
    </row>
    <row r="17" spans="1:20" x14ac:dyDescent="0.2">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203" t="s">
        <v>528</v>
      </c>
      <c r="R17">
        <f>Ruvlo2</f>
        <v>121.2121212121212</v>
      </c>
      <c r="S17" s="2">
        <f t="shared" si="13"/>
        <v>121</v>
      </c>
      <c r="T17" s="65" t="s">
        <v>493</v>
      </c>
    </row>
    <row r="18" spans="1:20" x14ac:dyDescent="0.2">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x14ac:dyDescent="0.2">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203"/>
      <c r="S21" s="2"/>
      <c r="T21" s="65"/>
    </row>
    <row r="22" spans="1:20" x14ac:dyDescent="0.2">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203" t="s">
        <v>596</v>
      </c>
      <c r="R22" s="464">
        <f>Rilim_shunt_ideal</f>
        <v>419.10044444444446</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422</v>
      </c>
      <c r="T22" s="65" t="s">
        <v>539</v>
      </c>
    </row>
    <row r="23" spans="1:20" x14ac:dyDescent="0.2">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701</v>
      </c>
      <c r="R23" s="45">
        <f>Cilim</f>
        <v>2.9814171304465863E-11</v>
      </c>
      <c r="S23" s="2">
        <f>H4*1000000000000</f>
        <v>27</v>
      </c>
      <c r="T23" t="s">
        <v>53</v>
      </c>
    </row>
    <row r="24" spans="1:20" x14ac:dyDescent="0.2">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203"/>
      <c r="S24" s="2"/>
      <c r="T24" s="65"/>
    </row>
    <row r="25" spans="1:20" x14ac:dyDescent="0.2">
      <c r="A25">
        <v>18</v>
      </c>
      <c r="B25">
        <f t="shared" si="11"/>
        <v>0</v>
      </c>
      <c r="C25">
        <f t="shared" si="12"/>
        <v>0</v>
      </c>
      <c r="D25">
        <f t="shared" si="3"/>
        <v>0</v>
      </c>
      <c r="E25">
        <f t="shared" si="4"/>
        <v>0</v>
      </c>
      <c r="F25">
        <f t="shared" si="5"/>
        <v>0</v>
      </c>
      <c r="G25">
        <f t="shared" si="6"/>
        <v>0</v>
      </c>
      <c r="H25">
        <f t="shared" si="7"/>
        <v>0</v>
      </c>
      <c r="I25">
        <f t="shared" si="7"/>
        <v>0</v>
      </c>
      <c r="J25">
        <f t="shared" si="7"/>
        <v>0</v>
      </c>
      <c r="K25">
        <f t="shared" si="7"/>
        <v>0</v>
      </c>
      <c r="L25">
        <f t="shared" si="8"/>
        <v>0</v>
      </c>
      <c r="M25">
        <f t="shared" si="9"/>
        <v>0</v>
      </c>
      <c r="N25" t="e">
        <f t="shared" si="10"/>
        <v>#REF!</v>
      </c>
    </row>
    <row r="26" spans="1:20" x14ac:dyDescent="0.2">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x14ac:dyDescent="0.2">
      <c r="A27">
        <v>27</v>
      </c>
      <c r="B27">
        <f t="shared" si="11"/>
        <v>0</v>
      </c>
      <c r="C27">
        <f t="shared" si="12"/>
        <v>0</v>
      </c>
      <c r="D27">
        <f t="shared" si="3"/>
        <v>0</v>
      </c>
      <c r="E27">
        <f t="shared" si="4"/>
        <v>0</v>
      </c>
      <c r="F27">
        <f t="shared" si="5"/>
        <v>0</v>
      </c>
      <c r="G27">
        <f t="shared" si="6"/>
        <v>0</v>
      </c>
      <c r="H27">
        <f t="shared" si="7"/>
        <v>27</v>
      </c>
      <c r="I27">
        <f t="shared" si="7"/>
        <v>0</v>
      </c>
      <c r="J27">
        <f t="shared" si="7"/>
        <v>0</v>
      </c>
      <c r="K27">
        <f t="shared" si="7"/>
        <v>0</v>
      </c>
      <c r="L27">
        <f t="shared" si="8"/>
        <v>0</v>
      </c>
      <c r="M27">
        <f t="shared" si="9"/>
        <v>0</v>
      </c>
      <c r="N27" t="e">
        <f t="shared" si="10"/>
        <v>#REF!</v>
      </c>
      <c r="Q27" s="3" t="s">
        <v>326</v>
      </c>
      <c r="R27" t="str">
        <f>S8/1000&amp;" kΩ"</f>
        <v>15.8 kΩ</v>
      </c>
      <c r="S27">
        <f>S8/1000</f>
        <v>15.8</v>
      </c>
      <c r="T27" s="65" t="s">
        <v>493</v>
      </c>
    </row>
    <row r="28" spans="1:20" x14ac:dyDescent="0.2">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6800 pF</v>
      </c>
      <c r="S28">
        <f>C4*1000000000000</f>
        <v>6800</v>
      </c>
      <c r="T28" s="203" t="s">
        <v>53</v>
      </c>
    </row>
    <row r="29" spans="1:20" x14ac:dyDescent="0.2">
      <c r="A29">
        <v>39</v>
      </c>
      <c r="B29">
        <f t="shared" si="11"/>
        <v>0</v>
      </c>
      <c r="C29">
        <f t="shared" si="12"/>
        <v>0</v>
      </c>
      <c r="D29">
        <f t="shared" si="3"/>
        <v>39</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39 pF</v>
      </c>
      <c r="S29">
        <f>D4*1000000000000</f>
        <v>39</v>
      </c>
      <c r="T29" s="203" t="s">
        <v>53</v>
      </c>
    </row>
    <row r="30" spans="1:20" x14ac:dyDescent="0.2">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2610 Ω</v>
      </c>
      <c r="S30">
        <f>S9</f>
        <v>2610</v>
      </c>
      <c r="T30" s="65" t="s">
        <v>539</v>
      </c>
    </row>
    <row r="31" spans="1:20" x14ac:dyDescent="0.2">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3900 pF</v>
      </c>
      <c r="S31">
        <f>E4*1000000000000</f>
        <v>3900</v>
      </c>
      <c r="T31" s="203" t="s">
        <v>53</v>
      </c>
    </row>
    <row r="32" spans="1:20" x14ac:dyDescent="0.2">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203"/>
    </row>
    <row r="35" spans="1:17" x14ac:dyDescent="0.2">
      <c r="A35">
        <f t="shared" ref="A35:A98" si="14">A23*10</f>
        <v>120</v>
      </c>
      <c r="B35">
        <f t="shared" si="11"/>
        <v>0</v>
      </c>
      <c r="C35">
        <f t="shared" si="12"/>
        <v>0</v>
      </c>
      <c r="D35">
        <f t="shared" si="3"/>
        <v>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203"/>
    </row>
    <row r="36" spans="1:17" x14ac:dyDescent="0.2">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
      <c r="A48">
        <f t="shared" si="14"/>
        <v>1500</v>
      </c>
      <c r="B48">
        <f t="shared" si="11"/>
        <v>0</v>
      </c>
      <c r="C48">
        <f t="shared" si="17"/>
        <v>0</v>
      </c>
      <c r="D48">
        <f t="shared" si="3"/>
        <v>0</v>
      </c>
      <c r="E48">
        <f t="shared" si="4"/>
        <v>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
      <c r="A52">
        <f t="shared" si="14"/>
        <v>3300</v>
      </c>
      <c r="B52">
        <f t="shared" si="11"/>
        <v>0</v>
      </c>
      <c r="C52">
        <f t="shared" si="17"/>
        <v>0</v>
      </c>
      <c r="D52">
        <f t="shared" si="3"/>
        <v>0</v>
      </c>
      <c r="E52">
        <f t="shared" si="4"/>
        <v>3900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
      <c r="A54">
        <f t="shared" si="14"/>
        <v>4700</v>
      </c>
      <c r="B54">
        <f t="shared" si="11"/>
        <v>0</v>
      </c>
      <c r="C54">
        <f t="shared" si="17"/>
        <v>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
      <c r="A55">
        <f t="shared" si="14"/>
        <v>5600</v>
      </c>
      <c r="B55">
        <f t="shared" si="11"/>
        <v>0</v>
      </c>
      <c r="C55">
        <f t="shared" si="17"/>
        <v>6800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
      <c r="A70">
        <f t="shared" si="14"/>
        <v>100000</v>
      </c>
      <c r="B70">
        <f t="shared" si="11"/>
        <v>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
      <c r="A74">
        <f t="shared" si="14"/>
        <v>220000</v>
      </c>
      <c r="B74">
        <f t="shared" si="22"/>
        <v>220000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
      <c r="A106">
        <f t="shared" si="28"/>
        <v>100000000</v>
      </c>
      <c r="B106">
        <f t="shared" si="22"/>
        <v>0</v>
      </c>
      <c r="C106">
        <f t="shared" si="23"/>
        <v>0</v>
      </c>
      <c r="D106">
        <f t="shared" si="23"/>
        <v>0</v>
      </c>
      <c r="E106">
        <f t="shared" si="23"/>
        <v>0</v>
      </c>
      <c r="F106">
        <f t="shared" si="23"/>
        <v>0</v>
      </c>
      <c r="G106">
        <f t="shared" si="31"/>
        <v>0</v>
      </c>
      <c r="H106">
        <f t="shared" si="32"/>
        <v>0</v>
      </c>
      <c r="I106">
        <f t="shared" si="33"/>
        <v>0</v>
      </c>
      <c r="J106">
        <f t="shared" si="34"/>
        <v>0</v>
      </c>
      <c r="K106">
        <f t="shared" si="18"/>
        <v>0</v>
      </c>
      <c r="L106">
        <f t="shared" si="18"/>
        <v>0</v>
      </c>
      <c r="M106">
        <f t="shared" si="29"/>
        <v>0</v>
      </c>
      <c r="N106" t="e">
        <f t="shared" si="30"/>
        <v>#REF!</v>
      </c>
    </row>
    <row r="107" spans="1:14" x14ac:dyDescent="0.2">
      <c r="A107">
        <f t="shared" si="28"/>
        <v>120000000</v>
      </c>
      <c r="B107">
        <f t="shared" si="22"/>
        <v>0</v>
      </c>
      <c r="C107">
        <f t="shared" si="23"/>
        <v>0</v>
      </c>
      <c r="D107">
        <f t="shared" si="23"/>
        <v>0</v>
      </c>
      <c r="E107">
        <f t="shared" si="23"/>
        <v>0</v>
      </c>
      <c r="F107">
        <f t="shared" si="23"/>
        <v>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
      <c r="A115">
        <f t="shared" si="28"/>
        <v>560000000</v>
      </c>
      <c r="B115">
        <f t="shared" si="22"/>
        <v>0</v>
      </c>
      <c r="C115">
        <f t="shared" si="23"/>
        <v>0</v>
      </c>
      <c r="D115">
        <f t="shared" si="23"/>
        <v>0</v>
      </c>
      <c r="E115">
        <f t="shared" si="23"/>
        <v>0</v>
      </c>
      <c r="F115">
        <f t="shared" si="23"/>
        <v>0</v>
      </c>
      <c r="G115">
        <f t="shared" si="31"/>
        <v>680000000</v>
      </c>
      <c r="H115">
        <f t="shared" si="32"/>
        <v>0</v>
      </c>
      <c r="I115">
        <f t="shared" si="33"/>
        <v>0</v>
      </c>
      <c r="J115">
        <f t="shared" si="34"/>
        <v>0</v>
      </c>
      <c r="K115">
        <f t="shared" si="18"/>
        <v>0</v>
      </c>
      <c r="L115">
        <f t="shared" si="18"/>
        <v>0</v>
      </c>
      <c r="M115">
        <f t="shared" si="29"/>
        <v>0</v>
      </c>
      <c r="N115" t="e">
        <f t="shared" si="30"/>
        <v>#REF!</v>
      </c>
    </row>
    <row r="116" spans="1:14" x14ac:dyDescent="0.2">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
      <c r="A124">
        <f t="shared" si="28"/>
        <v>3300000000</v>
      </c>
      <c r="B124">
        <f t="shared" si="22"/>
        <v>0</v>
      </c>
      <c r="C124">
        <f t="shared" si="23"/>
        <v>0</v>
      </c>
      <c r="D124">
        <f t="shared" si="23"/>
        <v>0</v>
      </c>
      <c r="E124">
        <f t="shared" si="23"/>
        <v>0</v>
      </c>
      <c r="F124">
        <f t="shared" si="23"/>
        <v>3300000000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
      <c r="A159" s="6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2.75" x14ac:dyDescent="0.2"/>
  <cols>
    <col min="1" max="1" width="10.42578125" customWidth="1"/>
    <col min="2" max="2" width="10" bestFit="1" customWidth="1"/>
    <col min="4" max="4" width="12.42578125" bestFit="1" customWidth="1"/>
    <col min="7" max="7" width="11.140625" customWidth="1"/>
    <col min="8" max="8" width="13.140625" bestFit="1" customWidth="1"/>
    <col min="13" max="14" width="12.42578125" bestFit="1" customWidth="1"/>
    <col min="16" max="16" width="12.42578125" bestFit="1" customWidth="1"/>
    <col min="18" max="18" width="13.140625" bestFit="1" customWidth="1"/>
    <col min="20" max="20" width="13.140625" bestFit="1" customWidth="1"/>
    <col min="22" max="22" width="13.140625" bestFit="1" customWidth="1"/>
    <col min="24" max="24" width="13.85546875" bestFit="1" customWidth="1"/>
    <col min="25" max="25" width="12.5703125" bestFit="1" customWidth="1"/>
    <col min="26" max="26" width="12.42578125" bestFit="1" customWidth="1"/>
    <col min="28" max="28" width="3.140625" style="6" customWidth="1"/>
    <col min="29" max="32" width="8.5703125" customWidth="1"/>
    <col min="33" max="33" width="13.140625" bestFit="1" customWidth="1"/>
    <col min="34" max="34" width="9.5703125" bestFit="1" customWidth="1"/>
    <col min="35" max="35" width="10" bestFit="1" customWidth="1"/>
    <col min="36" max="39" width="8.85546875" customWidth="1"/>
    <col min="43" max="43" width="12.42578125" bestFit="1" customWidth="1"/>
    <col min="45" max="46" width="12.42578125" bestFit="1" customWidth="1"/>
    <col min="47" max="47" width="13.140625" bestFit="1" customWidth="1"/>
    <col min="49" max="49" width="13.140625" bestFit="1" customWidth="1"/>
    <col min="50" max="50" width="11" bestFit="1" customWidth="1"/>
    <col min="54" max="54" width="12.42578125" customWidth="1"/>
    <col min="55" max="55" width="10.140625" customWidth="1"/>
    <col min="58" max="58" width="11" customWidth="1"/>
    <col min="59" max="59" width="13" customWidth="1"/>
    <col min="60" max="60" width="16.85546875" customWidth="1"/>
    <col min="62" max="62" width="12.28515625" customWidth="1"/>
    <col min="66" max="66" width="13.140625" bestFit="1" customWidth="1"/>
    <col min="72" max="72" width="10.5703125" customWidth="1"/>
  </cols>
  <sheetData>
    <row r="1" spans="1:81" ht="38.25" customHeight="1" x14ac:dyDescent="0.4">
      <c r="A1" s="617" t="s">
        <v>45</v>
      </c>
      <c r="B1" s="617"/>
      <c r="C1" s="617"/>
      <c r="D1" s="617"/>
      <c r="E1" s="617"/>
      <c r="F1" s="617"/>
      <c r="G1" s="617"/>
      <c r="AC1" s="8" t="s">
        <v>106</v>
      </c>
      <c r="AD1" s="5"/>
      <c r="AE1" s="5"/>
      <c r="AF1" s="5"/>
      <c r="AG1" s="5"/>
    </row>
    <row r="3" spans="1:81" x14ac:dyDescent="0.2">
      <c r="AT3">
        <f>AT9/10000000000000</f>
        <v>-1.0345928844844898E-4</v>
      </c>
      <c r="AU3">
        <f>AU9/10000000000000</f>
        <v>-6.0722777926553222E-2</v>
      </c>
    </row>
    <row r="4" spans="1:81" x14ac:dyDescent="0.2">
      <c r="AT4">
        <f>AT3*1000</f>
        <v>-0.10345928844844898</v>
      </c>
      <c r="AU4">
        <f>AU3*1000</f>
        <v>-60.722777926553221</v>
      </c>
      <c r="BJ4" s="5" t="s">
        <v>111</v>
      </c>
      <c r="BK4" s="5"/>
    </row>
    <row r="5" spans="1:81" x14ac:dyDescent="0.2">
      <c r="AC5" t="s">
        <v>93</v>
      </c>
      <c r="AD5" t="s">
        <v>94</v>
      </c>
      <c r="AE5" t="s">
        <v>95</v>
      </c>
      <c r="AF5" t="s">
        <v>96</v>
      </c>
      <c r="AJ5" t="s">
        <v>93</v>
      </c>
      <c r="AK5" t="s">
        <v>94</v>
      </c>
      <c r="AL5" t="s">
        <v>95</v>
      </c>
      <c r="AM5" t="s">
        <v>96</v>
      </c>
      <c r="BJ5" t="s">
        <v>84</v>
      </c>
      <c r="BK5">
        <f>SUM(BJ9:BJ626)/1000</f>
        <v>48</v>
      </c>
    </row>
    <row r="6" spans="1:81" x14ac:dyDescent="0.2">
      <c r="C6" s="618" t="s">
        <v>46</v>
      </c>
      <c r="D6" s="618"/>
      <c r="E6" s="618"/>
      <c r="F6" s="618"/>
      <c r="G6" s="618"/>
      <c r="H6" s="618"/>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81.424923628941826</v>
      </c>
      <c r="BM6" s="5" t="s">
        <v>335</v>
      </c>
      <c r="BN6" s="5"/>
      <c r="BU6" s="2"/>
    </row>
    <row r="7" spans="1:81" x14ac:dyDescent="0.2">
      <c r="A7" s="2"/>
      <c r="B7" s="2"/>
      <c r="C7" s="2" t="s">
        <v>47</v>
      </c>
      <c r="D7" s="2"/>
      <c r="E7" s="2"/>
      <c r="F7" s="2" t="s">
        <v>48</v>
      </c>
      <c r="G7" s="2"/>
      <c r="H7" s="2"/>
      <c r="I7" s="2"/>
      <c r="J7" s="2"/>
      <c r="M7" s="615" t="s">
        <v>50</v>
      </c>
      <c r="N7" s="615"/>
      <c r="O7" s="615" t="s">
        <v>64</v>
      </c>
      <c r="P7" s="615"/>
      <c r="Q7" s="615" t="s">
        <v>65</v>
      </c>
      <c r="R7" s="615"/>
      <c r="S7" s="615" t="s">
        <v>66</v>
      </c>
      <c r="T7" s="615"/>
      <c r="U7" s="615" t="s">
        <v>67</v>
      </c>
      <c r="V7" s="615"/>
      <c r="AC7" t="s">
        <v>90</v>
      </c>
      <c r="AE7" t="s">
        <v>91</v>
      </c>
      <c r="AG7" t="s">
        <v>92</v>
      </c>
      <c r="AJ7" t="s">
        <v>90</v>
      </c>
      <c r="AL7" t="s">
        <v>91</v>
      </c>
      <c r="AN7" t="s">
        <v>92</v>
      </c>
      <c r="AQ7" t="s">
        <v>83</v>
      </c>
      <c r="AT7" t="s">
        <v>90</v>
      </c>
      <c r="AW7" t="s">
        <v>91</v>
      </c>
      <c r="BU7" s="2"/>
    </row>
    <row r="8" spans="1:81" x14ac:dyDescent="0.2">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
      <c r="A9">
        <v>1</v>
      </c>
      <c r="B9">
        <f>A9/1000</f>
        <v>1E-3</v>
      </c>
      <c r="C9">
        <f t="shared" ref="C9:C72" si="0">SQRT((A9/Fesr)^2+1)</f>
        <v>1.0000000019346398</v>
      </c>
      <c r="D9">
        <f t="shared" ref="D9:D72" si="1">ATAN(A9/Fesr)</f>
        <v>6.2203534389772383E-5</v>
      </c>
      <c r="F9">
        <f t="shared" ref="F9:F72" si="2">(Ro/(Ro+Rdcr))/SQRT((A9/(Q*Fo))^2+(1-(A9^2/Fo^2))^2)</f>
        <v>0.99159656095339455</v>
      </c>
      <c r="G9">
        <f t="shared" ref="G9:G72" si="3">-ATAN(A9*Fo/(Q*(Fo^2-A9^2)))</f>
        <v>-1.8084534368485765E-4</v>
      </c>
      <c r="H9">
        <f t="shared" ref="H9:H72" si="4">IF(G9&gt;0,G9-Pi,G9)</f>
        <v>-1.8084534368485765E-4</v>
      </c>
      <c r="J9">
        <f t="shared" ref="J9:J72" si="5">Vin/Vramp</f>
        <v>15</v>
      </c>
      <c r="M9">
        <f t="shared" ref="M9:M72" si="6">1/(2*Pi*_Rfb1*(Cc1ea_u+Cc2ea_u)*A9)</f>
        <v>3373.4991579498151</v>
      </c>
      <c r="N9">
        <f t="shared" ref="N9:N72" si="7">-Pi/2</f>
        <v>-1.5707963250000001</v>
      </c>
      <c r="O9">
        <f t="shared" ref="O9:O72" si="8">SQRT(1+(A9/Fz1_u)^2)</f>
        <v>1.0000000439012942</v>
      </c>
      <c r="P9">
        <f t="shared" ref="P9:P72" si="9">ATAN2(Fz1_u,A9)</f>
        <v>2.9631501007559174E-4</v>
      </c>
      <c r="Q9">
        <f t="shared" ref="Q9:Q72" si="10">SQRT(1+(A9/Fz2_u)^2)</f>
        <v>1.0000000842729084</v>
      </c>
      <c r="R9">
        <f t="shared" ref="R9:R72" si="11">ATAN2(Fz2_u,A9)</f>
        <v>4.1054330443688122E-4</v>
      </c>
      <c r="S9">
        <f t="shared" ref="S9:S72" si="12">1/SQRT(1+(A9/Fp1_u)^2)</f>
        <v>0.99999999930352979</v>
      </c>
      <c r="T9">
        <f t="shared" ref="T9:T72" si="13">-ATAN2(Fp1_u,A9)</f>
        <v>-3.7322120664670834E-5</v>
      </c>
      <c r="U9">
        <f t="shared" ref="U9:U72" si="14">1/SQRT(1+(A9/Fp2_u)^2)</f>
        <v>0.99999999999999356</v>
      </c>
      <c r="V9">
        <f t="shared" ref="V9:V72" si="15">-ATAN2(Fp2_u,A9)</f>
        <v>-1.1305418494772941E-7</v>
      </c>
      <c r="X9">
        <f>20*LOG(C9*J9*O9*Q9*F9*M9*S9*U9)</f>
        <v>94.010138664580452</v>
      </c>
      <c r="Y9">
        <f t="shared" ref="Y9:Y72" si="16">(180/Pi)*(D9+H9+N9+P9+R9+T9+V9)</f>
        <v>-89.968442554299259</v>
      </c>
      <c r="Z9">
        <f>Y9+180</f>
        <v>90.031557445700741</v>
      </c>
      <c r="AC9">
        <v>1</v>
      </c>
      <c r="AD9">
        <f t="shared" ref="AD9:AD72" si="17">Rcea1_u*Cc1ea_u*A9*2*Pi</f>
        <v>2.9631501874800002E-4</v>
      </c>
      <c r="AE9">
        <f t="shared" ref="AE9:AE72" si="18">-Rcea1_u*Cc1ea_u*Cc2ea_u*(A9*2*Pi)^2</f>
        <v>-1.8618021699666584E-15</v>
      </c>
      <c r="AF9">
        <f t="shared" ref="AF9:AF72" si="19">(Cc2ea_u+Cc1ea_u)*A9*2*Pi</f>
        <v>1.64682286713E-8</v>
      </c>
      <c r="AG9">
        <f>AC9*AE9/(AE9^2+AF9^2)+AD9*AF9/(AE9^2+AF9^2)</f>
        <v>17986.267404657454</v>
      </c>
      <c r="AH9">
        <f>AD9*AE9/(AE9^2+AF9^2)-AC9*AF9/(AE9^2+AF9^2)</f>
        <v>-60722984.845130108</v>
      </c>
      <c r="AI9">
        <f>SQRT(AG9^2+AH9^2)</f>
        <v>60722987.508913919</v>
      </c>
      <c r="AJ9">
        <f t="shared" ref="AJ9:AJ72" si="20">_Rfb1</f>
        <v>18000</v>
      </c>
      <c r="AK9">
        <f t="shared" ref="AK9:AK72" si="21">_Rfb1*Rcea2_u*Cc3ea_u*A9*2*Pi</f>
        <v>0.67179817227599992</v>
      </c>
      <c r="AL9">
        <v>1</v>
      </c>
      <c r="AM9">
        <f t="shared" ref="AM9:AM72" si="22">(_Rfb1+Rcea2_u)*Cc3ea_u*A9*2*Pi</f>
        <v>4.10543327502E-4</v>
      </c>
      <c r="AN9">
        <f>AJ9*AL9/(AL9^2+AM9^2)+AK9*AM9/(AL9^2+AM9^2)</f>
        <v>17999.997241977893</v>
      </c>
      <c r="AO9">
        <f>AK9*AL9/(AL9^2+AM9^2)-AJ9*AM9/(AL9^2+AM9^2)</f>
        <v>-6.7179805904724272</v>
      </c>
      <c r="AP9" s="60">
        <f>SQRT(AN9^2+AO9^2)</f>
        <v>17999.998495624241</v>
      </c>
      <c r="AQ9">
        <f t="shared" ref="AQ9:AQ72" si="23">Eadcg/(1+(Eadcg*A9/GBP)^2)</f>
        <v>9999.9600001600011</v>
      </c>
      <c r="AR9">
        <f t="shared" ref="AR9:AR72" si="24">-(A9*Eadcg*Eadcg/GBP)/(1+(Eadcg*A9/GBP)^2)</f>
        <v>-19.99992000032</v>
      </c>
      <c r="AT9">
        <f>-AR9*AH9+AG9*AQ9</f>
        <v>-1034592884.4844898</v>
      </c>
      <c r="AU9">
        <f>AQ9*AH9+AG9*AR9</f>
        <v>-607227779265.53223</v>
      </c>
      <c r="AV9">
        <f>ATAN2(AT9,AU9)</f>
        <v>-1.5725001221723456</v>
      </c>
      <c r="AW9">
        <f t="shared" ref="AW9:AW73" si="25">AG9-AH9*AO9/_Rfb2+AG9*AN9/_Rfb2+AN9-AO9*AR9+AQ9*AN9</f>
        <v>179970797.8166064</v>
      </c>
      <c r="AX9">
        <f t="shared" ref="AX9:AX73" si="26">AH9+AH9*AN9/_Rfb2+AG9*AO9/_Rfb2+AO9+AO9*AQ9+AN9*AR9</f>
        <v>-896091175.59489477</v>
      </c>
      <c r="AY9">
        <f>ATAN2(AW9,AX9)</f>
        <v>-1.3725933703411732</v>
      </c>
      <c r="BA9" s="47">
        <f t="shared" ref="BA9:BA72" si="27">SQRT(AT9^2+AU9^2)/SQRT(AW9^2+AX9^2)</f>
        <v>664.37474419491059</v>
      </c>
      <c r="BB9" s="60">
        <f>20*LOG(BA9)</f>
        <v>56.448262293008469</v>
      </c>
      <c r="BC9">
        <f>AV9-AY9</f>
        <v>-0.19990675183117235</v>
      </c>
      <c r="BD9">
        <f t="shared" ref="BD9:BD72" si="28">BC9*180/Pi-180</f>
        <v>-191.45381318918319</v>
      </c>
      <c r="BF9">
        <f t="shared" ref="BF9:BF72" si="29">20*LOG(BA9*J9*F9*C9)</f>
        <v>79.896787728566849</v>
      </c>
      <c r="BG9">
        <f t="shared" ref="BG9:BG72" si="30">(180/Pi)*(D9+H9+BC9)</f>
        <v>-11.460610864137378</v>
      </c>
      <c r="BH9">
        <f>IF(BG9&gt;180,BG9-180,BG9+180)</f>
        <v>168.53938913586262</v>
      </c>
      <c r="BI9">
        <f>IF(BH9&gt;180,BH9-360,BH9)</f>
        <v>168.53938913586262</v>
      </c>
      <c r="BJ9">
        <f t="shared" ref="BJ9:BJ72" si="31">SUM((BF10&lt;0)*(BF9&gt;0))*A9</f>
        <v>0</v>
      </c>
      <c r="BK9">
        <f>IF(BJ9&gt;0,BI9,0)</f>
        <v>0</v>
      </c>
      <c r="BM9">
        <f>20*LOG(J9*F9*C9)</f>
        <v>23.448525435558384</v>
      </c>
      <c r="BN9">
        <f t="shared" ref="BN9:BN72" si="32">(H9+D9)*180/Pi</f>
        <v>-6.7976749541718423E-3</v>
      </c>
      <c r="BQ9" s="66">
        <f>20*LOG(BA9*7)</f>
        <v>73.350223093293607</v>
      </c>
      <c r="BR9" s="66"/>
      <c r="BS9" s="66"/>
      <c r="BT9" s="66" t="s">
        <v>44</v>
      </c>
      <c r="BU9" s="66" t="s">
        <v>68</v>
      </c>
      <c r="BV9" s="66" t="s">
        <v>69</v>
      </c>
      <c r="BW9" s="66"/>
      <c r="BY9" s="66"/>
      <c r="BZ9" s="66"/>
      <c r="CA9" s="66"/>
      <c r="CC9" s="66"/>
    </row>
    <row r="10" spans="1:81" x14ac:dyDescent="0.2">
      <c r="A10">
        <v>2</v>
      </c>
      <c r="B10">
        <f t="shared" ref="B10:B73" si="33">A10/1000</f>
        <v>2E-3</v>
      </c>
      <c r="C10">
        <f t="shared" si="0"/>
        <v>1.0000000077385593</v>
      </c>
      <c r="D10">
        <f t="shared" si="1"/>
        <v>1.2440706829817903E-4</v>
      </c>
      <c r="F10">
        <f t="shared" si="2"/>
        <v>0.99159709168228383</v>
      </c>
      <c r="G10">
        <f t="shared" si="3"/>
        <v>-3.6169088687077025E-4</v>
      </c>
      <c r="H10">
        <f t="shared" si="4"/>
        <v>-3.6169088687077025E-4</v>
      </c>
      <c r="J10">
        <f t="shared" si="5"/>
        <v>15</v>
      </c>
      <c r="M10">
        <f t="shared" si="6"/>
        <v>1686.7495789749075</v>
      </c>
      <c r="N10">
        <f t="shared" si="7"/>
        <v>-1.5707963250000001</v>
      </c>
      <c r="O10">
        <f t="shared" si="8"/>
        <v>1.0000001756051653</v>
      </c>
      <c r="P10">
        <f t="shared" si="9"/>
        <v>5.9262996811674476E-4</v>
      </c>
      <c r="Q10">
        <f t="shared" si="10"/>
        <v>1.0000003370915906</v>
      </c>
      <c r="R10">
        <f t="shared" si="11"/>
        <v>8.2108647048310577E-4</v>
      </c>
      <c r="S10">
        <f t="shared" si="12"/>
        <v>0.9999999972141187</v>
      </c>
      <c r="T10">
        <f t="shared" si="13"/>
        <v>-7.4644241225366666E-5</v>
      </c>
      <c r="U10">
        <f t="shared" si="14"/>
        <v>0.99999999999997446</v>
      </c>
      <c r="V10">
        <f t="shared" si="15"/>
        <v>-2.2610836989545591E-7</v>
      </c>
      <c r="X10">
        <f t="shared" ref="X10:X73" si="34">20*LOG(C10*J10*O10*Q10*F10*M10*S10*U10)</f>
        <v>87.989546772402576</v>
      </c>
      <c r="Y10">
        <f t="shared" si="16"/>
        <v>-89.936885130961272</v>
      </c>
      <c r="Z10">
        <f t="shared" ref="Z10:Z73" si="35">Y10+180</f>
        <v>90.063114869038728</v>
      </c>
      <c r="AC10">
        <v>1</v>
      </c>
      <c r="AD10">
        <f t="shared" si="17"/>
        <v>5.9263003749600003E-4</v>
      </c>
      <c r="AE10">
        <f t="shared" si="18"/>
        <v>-7.4472086798666336E-15</v>
      </c>
      <c r="AF10">
        <f t="shared" si="19"/>
        <v>3.29364573426E-8</v>
      </c>
      <c r="AG10">
        <f t="shared" ref="AG10:AG73" si="36">AC10*AE10/(AE10^2+AF10^2)+AD10*AF10/(AE10^2+AF10^2)</f>
        <v>17986.267404656763</v>
      </c>
      <c r="AH10">
        <f t="shared" ref="AH10:AH73" si="37">AD10*AE10/(AE10^2+AF10^2)-AC10*AF10/(AE10^2+AF10^2)</f>
        <v>-30361492.425615184</v>
      </c>
      <c r="AJ10">
        <f t="shared" si="20"/>
        <v>18000</v>
      </c>
      <c r="AK10">
        <f t="shared" si="21"/>
        <v>1.3435963445519998</v>
      </c>
      <c r="AL10">
        <v>1</v>
      </c>
      <c r="AM10">
        <f t="shared" si="22"/>
        <v>8.2108665500399999E-4</v>
      </c>
      <c r="AN10">
        <f t="shared" ref="AN10:AN73" si="38">AJ10*AL10/(AL10^2+AM10^2)+AK10*AM10/(AL10^2+AM10^2)</f>
        <v>17999.988967917157</v>
      </c>
      <c r="AO10">
        <f t="shared" ref="AO10:AO73" si="39">AK10*AL10/(AL10^2+AM10^2)-AJ10*AM10/(AL10^2+AM10^2)</f>
        <v>-13.435954387224001</v>
      </c>
      <c r="AQ10">
        <f t="shared" si="23"/>
        <v>9999.8400025599585</v>
      </c>
      <c r="AR10">
        <f t="shared" si="24"/>
        <v>-39.999360010239833</v>
      </c>
      <c r="AT10">
        <f t="shared" ref="AT10:AT21" si="40">-AR10*AH10+AG10*AQ10</f>
        <v>-1034580469.6905247</v>
      </c>
      <c r="AU10">
        <f t="shared" ref="AU10:AU21" si="41">AQ10*AH10+AG10*AR10</f>
        <v>-303610785934.27307</v>
      </c>
      <c r="AV10">
        <f t="shared" ref="AV10:AV73" si="42">ATAN2(AT10,AU10)</f>
        <v>-1.5742039016020211</v>
      </c>
      <c r="AW10">
        <f t="shared" si="25"/>
        <v>179968152.08592936</v>
      </c>
      <c r="AX10">
        <f t="shared" si="26"/>
        <v>-448686300.8853026</v>
      </c>
      <c r="AY10">
        <f>ATAN2(AW10,AX10)</f>
        <v>-1.1893418862120495</v>
      </c>
      <c r="BA10">
        <f t="shared" si="27"/>
        <v>628.03376140559226</v>
      </c>
      <c r="BB10">
        <f t="shared" ref="BB10:BB73" si="43">20*LOG(BA10)</f>
        <v>55.959659817356588</v>
      </c>
      <c r="BC10">
        <f t="shared" ref="BC10:BC73" si="44">AV10-AY10</f>
        <v>-0.38486201538997156</v>
      </c>
      <c r="BD10">
        <f t="shared" si="28"/>
        <v>-202.0509692019412</v>
      </c>
      <c r="BF10">
        <f t="shared" si="29"/>
        <v>79.408189952245408</v>
      </c>
      <c r="BG10">
        <f t="shared" si="30"/>
        <v>-22.064564563307702</v>
      </c>
      <c r="BH10">
        <f t="shared" ref="BH10:BH73" si="45">IF(BG10&gt;180,BG10-180,BG10+180)</f>
        <v>157.9354354366923</v>
      </c>
      <c r="BI10">
        <f t="shared" ref="BI10:BI73" si="46">IF(BH10&gt;180,BH10-360,BH10)</f>
        <v>157.9354354366923</v>
      </c>
      <c r="BJ10">
        <f t="shared" si="31"/>
        <v>0</v>
      </c>
      <c r="BK10">
        <f t="shared" ref="BK10:BK73" si="47">IF(BJ10&gt;0,BI10,0)</f>
        <v>0</v>
      </c>
      <c r="BM10">
        <f t="shared" ref="BM10:BM73" si="48">20*LOG(J10*F10*C10)</f>
        <v>23.448530134888816</v>
      </c>
      <c r="BN10">
        <f t="shared" si="32"/>
        <v>-1.3595361366492378E-2</v>
      </c>
      <c r="BQ10" s="66">
        <f t="shared" ref="BQ10:BQ73" si="49">20*LOG(BA10*7)</f>
        <v>72.861620617641719</v>
      </c>
      <c r="BR10" s="67"/>
      <c r="BS10" s="67"/>
      <c r="BT10" s="67">
        <v>100</v>
      </c>
      <c r="BU10" s="67">
        <v>35.359299999999998</v>
      </c>
      <c r="BV10" s="67">
        <v>-267.66769999999997</v>
      </c>
      <c r="BW10" s="75"/>
      <c r="BY10" s="67"/>
      <c r="BZ10" s="67"/>
      <c r="CA10" s="67"/>
      <c r="CC10" s="67"/>
    </row>
    <row r="11" spans="1:81" x14ac:dyDescent="0.2">
      <c r="A11">
        <v>3</v>
      </c>
      <c r="B11">
        <f t="shared" si="33"/>
        <v>3.0000000000000001E-3</v>
      </c>
      <c r="C11">
        <f t="shared" si="0"/>
        <v>1.0000000174117585</v>
      </c>
      <c r="D11">
        <f t="shared" si="1"/>
        <v>1.8661060124385421E-4</v>
      </c>
      <c r="F11">
        <f t="shared" si="2"/>
        <v>0.99159797623157431</v>
      </c>
      <c r="G11">
        <f t="shared" si="3"/>
        <v>-5.4253682905948213E-4</v>
      </c>
      <c r="H11">
        <f t="shared" si="4"/>
        <v>-5.4253682905948213E-4</v>
      </c>
      <c r="J11">
        <f t="shared" si="5"/>
        <v>15</v>
      </c>
      <c r="M11">
        <f t="shared" si="6"/>
        <v>1124.499719316605</v>
      </c>
      <c r="N11">
        <f t="shared" si="7"/>
        <v>-1.5707963250000001</v>
      </c>
      <c r="O11">
        <f t="shared" si="8"/>
        <v>1.0000003951115783</v>
      </c>
      <c r="P11">
        <f t="shared" si="9"/>
        <v>8.8894482208907522E-4</v>
      </c>
      <c r="Q11">
        <f t="shared" si="10"/>
        <v>1.0000007584559194</v>
      </c>
      <c r="R11">
        <f t="shared" si="11"/>
        <v>1.2316293597482971E-3</v>
      </c>
      <c r="S11">
        <f t="shared" si="12"/>
        <v>0.99999999373176696</v>
      </c>
      <c r="T11">
        <f t="shared" si="13"/>
        <v>-1.1196636157811251E-4</v>
      </c>
      <c r="U11">
        <f t="shared" si="14"/>
        <v>0.99999999999994249</v>
      </c>
      <c r="V11">
        <f t="shared" si="15"/>
        <v>-3.3916255484317665E-7</v>
      </c>
      <c r="X11">
        <f t="shared" si="34"/>
        <v>84.467734959793177</v>
      </c>
      <c r="Y11">
        <f t="shared" si="16"/>
        <v>-89.905327752348811</v>
      </c>
      <c r="Z11">
        <f t="shared" si="35"/>
        <v>90.094672247651189</v>
      </c>
      <c r="AC11">
        <v>1</v>
      </c>
      <c r="AD11">
        <f t="shared" si="17"/>
        <v>8.8894505624400005E-4</v>
      </c>
      <c r="AE11">
        <f t="shared" si="18"/>
        <v>-1.6756219529699924E-14</v>
      </c>
      <c r="AF11">
        <f t="shared" si="19"/>
        <v>4.94046860139E-8</v>
      </c>
      <c r="AG11">
        <f t="shared" si="36"/>
        <v>17986.267404655617</v>
      </c>
      <c r="AH11">
        <f t="shared" si="37"/>
        <v>-20240994.953799158</v>
      </c>
      <c r="AJ11">
        <f t="shared" si="20"/>
        <v>18000</v>
      </c>
      <c r="AK11">
        <f t="shared" si="21"/>
        <v>2.0153945168279996</v>
      </c>
      <c r="AL11">
        <v>1</v>
      </c>
      <c r="AM11">
        <f t="shared" si="22"/>
        <v>1.2316299825059999E-3</v>
      </c>
      <c r="AN11">
        <f t="shared" si="38"/>
        <v>17999.975177834516</v>
      </c>
      <c r="AO11">
        <f t="shared" si="39"/>
        <v>-20.15391459655676</v>
      </c>
      <c r="AQ11">
        <f t="shared" si="23"/>
        <v>9999.6400129595349</v>
      </c>
      <c r="AR11">
        <f t="shared" si="24"/>
        <v>-59.997840077757203</v>
      </c>
      <c r="AT11">
        <f t="shared" si="40"/>
        <v>-1034559779.0293484</v>
      </c>
      <c r="AU11">
        <f t="shared" si="41"/>
        <v>-202403742179.31744</v>
      </c>
      <c r="AV11">
        <f t="shared" si="42"/>
        <v>-1.5759076491369175</v>
      </c>
      <c r="AW11">
        <f t="shared" si="25"/>
        <v>179963742.67699507</v>
      </c>
      <c r="AX11">
        <f t="shared" si="26"/>
        <v>-299836080.3531763</v>
      </c>
      <c r="AY11">
        <f t="shared" ref="AY11:AY74" si="50">ATAN2(AW11,AX11)</f>
        <v>-1.0302245649173585</v>
      </c>
      <c r="BA11">
        <f t="shared" si="27"/>
        <v>578.80354472860029</v>
      </c>
      <c r="BB11">
        <f t="shared" si="43"/>
        <v>55.250623643527312</v>
      </c>
      <c r="BC11">
        <f t="shared" si="44"/>
        <v>-0.54568308421955902</v>
      </c>
      <c r="BD11">
        <f t="shared" si="28"/>
        <v>-211.26533771318844</v>
      </c>
      <c r="BF11">
        <f t="shared" si="29"/>
        <v>78.699161610637987</v>
      </c>
      <c r="BG11">
        <f t="shared" si="30"/>
        <v>-31.285730783883594</v>
      </c>
      <c r="BH11">
        <f t="shared" si="45"/>
        <v>148.71426921611641</v>
      </c>
      <c r="BI11">
        <f t="shared" si="46"/>
        <v>148.71426921611641</v>
      </c>
      <c r="BJ11">
        <f t="shared" si="31"/>
        <v>0</v>
      </c>
      <c r="BK11">
        <f t="shared" si="47"/>
        <v>0</v>
      </c>
      <c r="BM11">
        <f t="shared" si="48"/>
        <v>23.448537967110671</v>
      </c>
      <c r="BN11">
        <f t="shared" si="32"/>
        <v>-2.0393070695149808E-2</v>
      </c>
      <c r="BQ11" s="66">
        <f t="shared" si="49"/>
        <v>72.152584443812458</v>
      </c>
      <c r="BR11" s="68"/>
      <c r="BS11" s="68"/>
      <c r="BT11" s="68">
        <v>102.32899999999999</v>
      </c>
      <c r="BU11" s="68">
        <v>34.936799999999998</v>
      </c>
      <c r="BV11" s="68">
        <v>-265.91489999999999</v>
      </c>
      <c r="BW11" s="75"/>
      <c r="BY11" s="68"/>
      <c r="BZ11" s="68"/>
      <c r="CA11" s="68"/>
      <c r="CC11" s="68"/>
    </row>
    <row r="12" spans="1:81" x14ac:dyDescent="0.2">
      <c r="A12">
        <v>4</v>
      </c>
      <c r="B12">
        <f t="shared" si="33"/>
        <v>4.0000000000000001E-3</v>
      </c>
      <c r="C12">
        <f t="shared" si="0"/>
        <v>1.0000000309542372</v>
      </c>
      <c r="D12">
        <f t="shared" si="1"/>
        <v>2.4881413274543225E-4</v>
      </c>
      <c r="F12">
        <f t="shared" si="2"/>
        <v>0.99159921460297806</v>
      </c>
      <c r="G12">
        <f t="shared" si="3"/>
        <v>-7.2338336975411705E-4</v>
      </c>
      <c r="H12">
        <f t="shared" si="4"/>
        <v>-7.2338336975411705E-4</v>
      </c>
      <c r="J12">
        <f t="shared" si="5"/>
        <v>15</v>
      </c>
      <c r="M12">
        <f t="shared" si="6"/>
        <v>843.37478948745377</v>
      </c>
      <c r="N12">
        <f t="shared" si="7"/>
        <v>-1.5707963250000001</v>
      </c>
      <c r="O12">
        <f t="shared" si="8"/>
        <v>1.000000702420476</v>
      </c>
      <c r="P12">
        <f t="shared" si="9"/>
        <v>1.185259519958309E-3</v>
      </c>
      <c r="Q12">
        <f t="shared" si="10"/>
        <v>1.0000013483656811</v>
      </c>
      <c r="R12">
        <f t="shared" si="11"/>
        <v>1.6421718338426375E-3</v>
      </c>
      <c r="S12">
        <f t="shared" si="12"/>
        <v>0.99999998885647468</v>
      </c>
      <c r="T12">
        <f t="shared" si="13"/>
        <v>-1.4928848161893334E-4</v>
      </c>
      <c r="U12">
        <f t="shared" si="14"/>
        <v>0.99999999999989786</v>
      </c>
      <c r="V12">
        <f t="shared" si="15"/>
        <v>-4.5221673979088873E-7</v>
      </c>
      <c r="X12">
        <f t="shared" si="34"/>
        <v>81.968978943535916</v>
      </c>
      <c r="Y12">
        <f t="shared" si="16"/>
        <v>-89.873770440824643</v>
      </c>
      <c r="Z12">
        <f t="shared" si="35"/>
        <v>90.126229559175357</v>
      </c>
      <c r="AC12">
        <v>1</v>
      </c>
      <c r="AD12">
        <f t="shared" si="17"/>
        <v>1.1852600749920001E-3</v>
      </c>
      <c r="AE12">
        <f t="shared" si="18"/>
        <v>-2.9788834719466534E-14</v>
      </c>
      <c r="AF12">
        <f t="shared" si="19"/>
        <v>6.58729146852E-8</v>
      </c>
      <c r="AG12">
        <f t="shared" si="36"/>
        <v>17986.267404654005</v>
      </c>
      <c r="AH12">
        <f t="shared" si="37"/>
        <v>-15180746.218907861</v>
      </c>
      <c r="AJ12">
        <f t="shared" si="20"/>
        <v>18000</v>
      </c>
      <c r="AK12">
        <f t="shared" si="21"/>
        <v>2.6871926891039997</v>
      </c>
      <c r="AL12">
        <v>1</v>
      </c>
      <c r="AM12">
        <f t="shared" si="22"/>
        <v>1.642173310008E-3</v>
      </c>
      <c r="AN12">
        <f t="shared" si="38"/>
        <v>17999.955871757873</v>
      </c>
      <c r="AO12">
        <f t="shared" si="39"/>
        <v>-26.871854424818562</v>
      </c>
      <c r="AQ12">
        <f t="shared" si="23"/>
        <v>9999.3600409573774</v>
      </c>
      <c r="AR12">
        <f t="shared" si="24"/>
        <v>-79.994880327659018</v>
      </c>
      <c r="AT12">
        <f t="shared" si="40"/>
        <v>-1034530813.4940251</v>
      </c>
      <c r="AU12">
        <f t="shared" si="41"/>
        <v>-151799185942.57062</v>
      </c>
      <c r="AV12">
        <f t="shared" si="42"/>
        <v>-1.5776113488315646</v>
      </c>
      <c r="AW12">
        <f t="shared" si="25"/>
        <v>179957569.80307671</v>
      </c>
      <c r="AX12">
        <f t="shared" si="26"/>
        <v>-225624496.7411842</v>
      </c>
      <c r="AY12">
        <f t="shared" si="50"/>
        <v>-0.89752194587136502</v>
      </c>
      <c r="BA12">
        <f t="shared" si="27"/>
        <v>525.99319265940528</v>
      </c>
      <c r="BB12">
        <f t="shared" si="43"/>
        <v>54.419602472063858</v>
      </c>
      <c r="BC12">
        <f t="shared" si="44"/>
        <v>-0.6800894029601996</v>
      </c>
      <c r="BD12">
        <f t="shared" si="28"/>
        <v>-218.96625252571681</v>
      </c>
      <c r="BF12">
        <f t="shared" si="29"/>
        <v>77.868151404294508</v>
      </c>
      <c r="BG12">
        <f t="shared" si="30"/>
        <v>-38.993443340115242</v>
      </c>
      <c r="BH12">
        <f t="shared" si="45"/>
        <v>141.00655665988475</v>
      </c>
      <c r="BI12">
        <f t="shared" si="46"/>
        <v>141.00655665988475</v>
      </c>
      <c r="BJ12">
        <f t="shared" si="31"/>
        <v>0</v>
      </c>
      <c r="BK12">
        <f t="shared" si="47"/>
        <v>0</v>
      </c>
      <c r="BM12">
        <f t="shared" si="48"/>
        <v>23.448548932230654</v>
      </c>
      <c r="BN12">
        <f t="shared" si="32"/>
        <v>-2.7190814398411346E-2</v>
      </c>
      <c r="BQ12" s="66">
        <f t="shared" si="49"/>
        <v>71.321563272348996</v>
      </c>
      <c r="BR12" s="67"/>
      <c r="BS12" s="67"/>
      <c r="BT12" s="67">
        <v>104.71299999999999</v>
      </c>
      <c r="BU12" s="67">
        <v>34.190800000000003</v>
      </c>
      <c r="BV12" s="67">
        <v>-264.93219999999997</v>
      </c>
      <c r="BW12" s="75"/>
      <c r="BY12" s="67"/>
      <c r="BZ12" s="67"/>
      <c r="CA12" s="67"/>
      <c r="CC12" s="67"/>
    </row>
    <row r="13" spans="1:81" x14ac:dyDescent="0.2">
      <c r="A13">
        <v>5</v>
      </c>
      <c r="B13">
        <f t="shared" si="33"/>
        <v>5.0000000000000001E-3</v>
      </c>
      <c r="C13">
        <f t="shared" si="0"/>
        <v>1.000000048365995</v>
      </c>
      <c r="D13">
        <f t="shared" si="1"/>
        <v>3.1101766232154762E-4</v>
      </c>
      <c r="F13">
        <f t="shared" si="2"/>
        <v>0.99160080679889206</v>
      </c>
      <c r="G13">
        <f t="shared" si="3"/>
        <v>-9.0423070845986782E-4</v>
      </c>
      <c r="H13">
        <f t="shared" si="4"/>
        <v>-9.0423070845986782E-4</v>
      </c>
      <c r="J13">
        <f t="shared" si="5"/>
        <v>15</v>
      </c>
      <c r="M13">
        <f t="shared" si="6"/>
        <v>674.69983158996308</v>
      </c>
      <c r="N13">
        <f t="shared" si="7"/>
        <v>-1.5707963250000001</v>
      </c>
      <c r="O13">
        <f t="shared" si="8"/>
        <v>1.000001097531777</v>
      </c>
      <c r="P13">
        <f t="shared" si="9"/>
        <v>1.481574009690336E-3</v>
      </c>
      <c r="Q13">
        <f t="shared" si="10"/>
        <v>1.0000021068205776</v>
      </c>
      <c r="R13">
        <f t="shared" si="11"/>
        <v>2.0527137543771509E-3</v>
      </c>
      <c r="S13">
        <f t="shared" si="12"/>
        <v>0.99999998258824185</v>
      </c>
      <c r="T13">
        <f t="shared" si="13"/>
        <v>-1.8661060124385421E-4</v>
      </c>
      <c r="U13">
        <f t="shared" si="14"/>
        <v>0.99999999999984013</v>
      </c>
      <c r="V13">
        <f t="shared" si="15"/>
        <v>-5.6527092473858922E-7</v>
      </c>
      <c r="X13">
        <f t="shared" si="34"/>
        <v>80.03080274669081</v>
      </c>
      <c r="Y13">
        <f t="shared" si="16"/>
        <v>-89.842213218751667</v>
      </c>
      <c r="Z13">
        <f t="shared" si="35"/>
        <v>90.157786781248333</v>
      </c>
      <c r="AC13">
        <v>1</v>
      </c>
      <c r="AD13">
        <f t="shared" si="17"/>
        <v>1.4815750937400001E-3</v>
      </c>
      <c r="AE13">
        <f t="shared" si="18"/>
        <v>-4.6545054249166452E-14</v>
      </c>
      <c r="AF13">
        <f t="shared" si="19"/>
        <v>8.2341143356500006E-8</v>
      </c>
      <c r="AG13">
        <f t="shared" si="36"/>
        <v>17986.267404651935</v>
      </c>
      <c r="AH13">
        <f t="shared" si="37"/>
        <v>-12144596.978786448</v>
      </c>
      <c r="AJ13">
        <f t="shared" si="20"/>
        <v>18000</v>
      </c>
      <c r="AK13">
        <f t="shared" si="21"/>
        <v>3.3589908613800001</v>
      </c>
      <c r="AL13">
        <v>1</v>
      </c>
      <c r="AM13">
        <f t="shared" si="22"/>
        <v>2.0527166375100001E-3</v>
      </c>
      <c r="AN13">
        <f t="shared" si="38"/>
        <v>17999.931049726267</v>
      </c>
      <c r="AO13">
        <f t="shared" si="39"/>
        <v>-33.58976707842595</v>
      </c>
      <c r="AQ13">
        <f t="shared" si="23"/>
        <v>9999.0000999900003</v>
      </c>
      <c r="AR13">
        <f t="shared" si="24"/>
        <v>-99.990000999900005</v>
      </c>
      <c r="AT13">
        <f t="shared" si="40"/>
        <v>-1034493574.4746778</v>
      </c>
      <c r="AU13">
        <f t="shared" si="41"/>
        <v>-121435624852.11974</v>
      </c>
      <c r="AV13">
        <f t="shared" si="42"/>
        <v>-1.5793149847427961</v>
      </c>
      <c r="AW13">
        <f t="shared" si="25"/>
        <v>179949633.76272109</v>
      </c>
      <c r="AX13">
        <f t="shared" si="26"/>
        <v>-181268338.08168888</v>
      </c>
      <c r="AY13">
        <f t="shared" si="50"/>
        <v>-0.7890488634272298</v>
      </c>
      <c r="BA13">
        <f t="shared" si="27"/>
        <v>475.44975047417466</v>
      </c>
      <c r="BB13">
        <f t="shared" si="43"/>
        <v>53.542092476153513</v>
      </c>
      <c r="BC13">
        <f t="shared" si="44"/>
        <v>-0.79026612131556628</v>
      </c>
      <c r="BD13">
        <f t="shared" si="28"/>
        <v>-225.27891349529415</v>
      </c>
      <c r="BF13">
        <f t="shared" si="29"/>
        <v>76.990655506411656</v>
      </c>
      <c r="BG13">
        <f t="shared" si="30"/>
        <v>-45.312902099228815</v>
      </c>
      <c r="BH13">
        <f t="shared" si="45"/>
        <v>134.68709790077119</v>
      </c>
      <c r="BI13">
        <f t="shared" si="46"/>
        <v>134.68709790077119</v>
      </c>
      <c r="BJ13">
        <f t="shared" si="31"/>
        <v>0</v>
      </c>
      <c r="BK13">
        <f t="shared" si="47"/>
        <v>0</v>
      </c>
      <c r="BM13">
        <f t="shared" si="48"/>
        <v>23.448563030258139</v>
      </c>
      <c r="BN13">
        <f t="shared" si="32"/>
        <v>-3.3988603934662763E-2</v>
      </c>
      <c r="BQ13" s="66">
        <f t="shared" si="49"/>
        <v>70.444053276438652</v>
      </c>
      <c r="BR13" s="68"/>
      <c r="BS13" s="68"/>
      <c r="BT13" s="68">
        <v>107.152</v>
      </c>
      <c r="BU13" s="68">
        <v>34.477699999999999</v>
      </c>
      <c r="BV13" s="68">
        <v>-262.3057</v>
      </c>
      <c r="BW13" s="75"/>
      <c r="BY13" s="68"/>
      <c r="BZ13" s="68"/>
      <c r="CA13" s="68"/>
      <c r="CC13" s="68"/>
    </row>
    <row r="14" spans="1:81" x14ac:dyDescent="0.2">
      <c r="A14">
        <v>6</v>
      </c>
      <c r="B14">
        <f t="shared" si="33"/>
        <v>6.0000000000000001E-3</v>
      </c>
      <c r="C14">
        <f t="shared" si="0"/>
        <v>1.0000000696470321</v>
      </c>
      <c r="D14">
        <f t="shared" si="1"/>
        <v>3.7322118949083461E-4</v>
      </c>
      <c r="F14">
        <f t="shared" si="2"/>
        <v>0.99160275282239829</v>
      </c>
      <c r="G14">
        <f t="shared" si="3"/>
        <v>-1.0850790446846848E-3</v>
      </c>
      <c r="H14">
        <f t="shared" si="4"/>
        <v>-1.0850790446846848E-3</v>
      </c>
      <c r="J14">
        <f t="shared" si="5"/>
        <v>15</v>
      </c>
      <c r="M14">
        <f t="shared" si="6"/>
        <v>562.24985965830251</v>
      </c>
      <c r="N14">
        <f t="shared" si="7"/>
        <v>-1.5707963250000001</v>
      </c>
      <c r="O14">
        <f t="shared" si="8"/>
        <v>1.000001580445377</v>
      </c>
      <c r="P14">
        <f t="shared" si="9"/>
        <v>1.7778882392512662E-3</v>
      </c>
      <c r="Q14">
        <f t="shared" si="10"/>
        <v>1.0000030338202255</v>
      </c>
      <c r="R14">
        <f t="shared" si="11"/>
        <v>2.4632549829639787E-3</v>
      </c>
      <c r="S14">
        <f t="shared" si="12"/>
        <v>0.99999997492706849</v>
      </c>
      <c r="T14">
        <f t="shared" si="13"/>
        <v>-2.2393272034890009E-4</v>
      </c>
      <c r="U14">
        <f t="shared" si="14"/>
        <v>0.99999999999976996</v>
      </c>
      <c r="V14">
        <f t="shared" si="15"/>
        <v>-6.7832510968627526E-7</v>
      </c>
      <c r="X14">
        <f t="shared" si="34"/>
        <v>78.447207236465204</v>
      </c>
      <c r="Y14">
        <f t="shared" si="16"/>
        <v>-89.810656108492836</v>
      </c>
      <c r="Z14">
        <f t="shared" si="35"/>
        <v>90.189343891507164</v>
      </c>
      <c r="AC14">
        <v>1</v>
      </c>
      <c r="AD14">
        <f t="shared" si="17"/>
        <v>1.7778901124880001E-3</v>
      </c>
      <c r="AE14">
        <f t="shared" si="18"/>
        <v>-6.7024878118799695E-14</v>
      </c>
      <c r="AF14">
        <f t="shared" si="19"/>
        <v>9.88093720278E-8</v>
      </c>
      <c r="AG14">
        <f t="shared" si="36"/>
        <v>17986.267404649407</v>
      </c>
      <c r="AH14">
        <f t="shared" si="37"/>
        <v>-10120497.486049984</v>
      </c>
      <c r="AJ14">
        <f t="shared" si="20"/>
        <v>18000</v>
      </c>
      <c r="AK14">
        <f t="shared" si="21"/>
        <v>4.0307890336559993</v>
      </c>
      <c r="AL14">
        <v>1</v>
      </c>
      <c r="AM14">
        <f t="shared" si="22"/>
        <v>2.4632599650119998E-3</v>
      </c>
      <c r="AN14">
        <f t="shared" si="38"/>
        <v>17999.900711789905</v>
      </c>
      <c r="AO14">
        <f t="shared" si="39"/>
        <v>-40.307645763887081</v>
      </c>
      <c r="AQ14">
        <f t="shared" si="23"/>
        <v>9998.5602073301452</v>
      </c>
      <c r="AR14">
        <f t="shared" si="24"/>
        <v>-119.98272248796174</v>
      </c>
      <c r="AT14">
        <f t="shared" si="40"/>
        <v>-1034448063.7583227</v>
      </c>
      <c r="AU14">
        <f t="shared" si="41"/>
        <v>-101192561483.73476</v>
      </c>
      <c r="AV14">
        <f t="shared" si="42"/>
        <v>-1.5810185409305162</v>
      </c>
      <c r="AW14">
        <f t="shared" si="25"/>
        <v>179939934.93971246</v>
      </c>
      <c r="AX14">
        <f t="shared" si="26"/>
        <v>-151839859.95832139</v>
      </c>
      <c r="AY14">
        <f t="shared" si="50"/>
        <v>-0.70090485297434779</v>
      </c>
      <c r="BA14">
        <f t="shared" si="27"/>
        <v>429.81766008631911</v>
      </c>
      <c r="BB14">
        <f t="shared" si="43"/>
        <v>52.665685110985301</v>
      </c>
      <c r="BC14">
        <f t="shared" si="44"/>
        <v>-0.8801136879561684</v>
      </c>
      <c r="BD14">
        <f t="shared" si="28"/>
        <v>-230.42679986920336</v>
      </c>
      <c r="BF14">
        <f t="shared" si="29"/>
        <v>76.114265372190488</v>
      </c>
      <c r="BG14">
        <f t="shared" si="30"/>
        <v>-50.467586319965825</v>
      </c>
      <c r="BH14">
        <f t="shared" si="45"/>
        <v>129.53241368003418</v>
      </c>
      <c r="BI14">
        <f t="shared" si="46"/>
        <v>129.53241368003418</v>
      </c>
      <c r="BJ14">
        <f t="shared" si="31"/>
        <v>0</v>
      </c>
      <c r="BK14">
        <f t="shared" si="47"/>
        <v>0</v>
      </c>
      <c r="BM14">
        <f t="shared" si="48"/>
        <v>23.448580261205198</v>
      </c>
      <c r="BN14">
        <f t="shared" si="32"/>
        <v>-4.0786450762447836E-2</v>
      </c>
      <c r="BQ14" s="66">
        <f t="shared" si="49"/>
        <v>69.567645911270432</v>
      </c>
      <c r="BR14" s="68"/>
      <c r="BS14" s="68"/>
      <c r="BT14" s="68">
        <v>109.648</v>
      </c>
      <c r="BU14" s="68">
        <v>34.114400000000003</v>
      </c>
      <c r="BV14" s="68">
        <v>-262.76620000000003</v>
      </c>
      <c r="BW14" s="75"/>
      <c r="BY14" s="68"/>
      <c r="BZ14" s="68"/>
      <c r="CA14" s="68"/>
      <c r="CC14" s="68"/>
    </row>
    <row r="15" spans="1:81" x14ac:dyDescent="0.2">
      <c r="A15">
        <v>7</v>
      </c>
      <c r="B15">
        <f t="shared" si="33"/>
        <v>7.0000000000000001E-3</v>
      </c>
      <c r="C15">
        <f t="shared" si="0"/>
        <v>1.0000000947973482</v>
      </c>
      <c r="D15">
        <f t="shared" si="1"/>
        <v>4.3542471377192807E-4</v>
      </c>
      <c r="F15">
        <f t="shared" si="2"/>
        <v>0.99160505267726395</v>
      </c>
      <c r="G15">
        <f t="shared" si="3"/>
        <v>-1.2659285779399671E-3</v>
      </c>
      <c r="H15">
        <f t="shared" si="4"/>
        <v>-1.2659285779399671E-3</v>
      </c>
      <c r="J15">
        <f t="shared" si="5"/>
        <v>15</v>
      </c>
      <c r="M15">
        <f t="shared" si="6"/>
        <v>481.92845113568785</v>
      </c>
      <c r="N15">
        <f t="shared" si="7"/>
        <v>-1.5707963250000001</v>
      </c>
      <c r="O15">
        <f t="shared" si="8"/>
        <v>1.0000021511611494</v>
      </c>
      <c r="P15">
        <f t="shared" si="9"/>
        <v>2.0742021566074833E-3</v>
      </c>
      <c r="Q15">
        <f t="shared" si="10"/>
        <v>1.0000041293641562</v>
      </c>
      <c r="R15">
        <f t="shared" si="11"/>
        <v>2.873795381216663E-3</v>
      </c>
      <c r="S15">
        <f t="shared" si="12"/>
        <v>0.99999996587295481</v>
      </c>
      <c r="T15">
        <f t="shared" si="13"/>
        <v>-2.6125483883009603E-4</v>
      </c>
      <c r="U15">
        <f t="shared" si="14"/>
        <v>0.99999999999968692</v>
      </c>
      <c r="V15">
        <f t="shared" si="15"/>
        <v>-7.9137929463394404E-7</v>
      </c>
      <c r="X15">
        <f t="shared" si="34"/>
        <v>77.108306201995134</v>
      </c>
      <c r="Y15">
        <f t="shared" si="16"/>
        <v>-89.779099132411176</v>
      </c>
      <c r="Z15">
        <f t="shared" si="35"/>
        <v>90.220900867588824</v>
      </c>
      <c r="AC15">
        <v>1</v>
      </c>
      <c r="AD15">
        <f t="shared" si="17"/>
        <v>2.0742051312360003E-3</v>
      </c>
      <c r="AE15">
        <f t="shared" si="18"/>
        <v>-9.122830632836625E-14</v>
      </c>
      <c r="AF15">
        <f t="shared" si="19"/>
        <v>1.1527760069910001E-7</v>
      </c>
      <c r="AG15">
        <f t="shared" si="36"/>
        <v>17986.26740464642</v>
      </c>
      <c r="AH15">
        <f t="shared" si="37"/>
        <v>-8674712.1346763428</v>
      </c>
      <c r="AJ15">
        <f t="shared" si="20"/>
        <v>18000</v>
      </c>
      <c r="AK15">
        <f t="shared" si="21"/>
        <v>4.7025872059319997</v>
      </c>
      <c r="AL15">
        <v>1</v>
      </c>
      <c r="AM15">
        <f t="shared" si="22"/>
        <v>2.8738032925139999E-3</v>
      </c>
      <c r="AN15">
        <f t="shared" si="38"/>
        <v>17999.864858010147</v>
      </c>
      <c r="AO15">
        <f t="shared" si="39"/>
        <v>-47.025483687824604</v>
      </c>
      <c r="AQ15">
        <f t="shared" si="23"/>
        <v>9998.0403840847193</v>
      </c>
      <c r="AR15">
        <f t="shared" si="24"/>
        <v>-139.97256537718607</v>
      </c>
      <c r="AT15">
        <f t="shared" si="40"/>
        <v>-1034394283.5286523</v>
      </c>
      <c r="AU15">
        <f t="shared" si="41"/>
        <v>-86732639826.794022</v>
      </c>
      <c r="AV15">
        <f t="shared" si="42"/>
        <v>-1.5827220014584666</v>
      </c>
      <c r="AW15">
        <f t="shared" si="25"/>
        <v>179928473.80302674</v>
      </c>
      <c r="AX15">
        <f t="shared" si="26"/>
        <v>-130941451.54407816</v>
      </c>
      <c r="AY15">
        <f t="shared" si="50"/>
        <v>-0.62910294475152195</v>
      </c>
      <c r="BA15">
        <f t="shared" si="27"/>
        <v>389.7835297152352</v>
      </c>
      <c r="BB15">
        <f t="shared" si="43"/>
        <v>51.816469681526847</v>
      </c>
      <c r="BC15">
        <f t="shared" si="44"/>
        <v>-0.95361905670694469</v>
      </c>
      <c r="BD15">
        <f t="shared" si="28"/>
        <v>-234.63834727498806</v>
      </c>
      <c r="BF15">
        <f t="shared" si="29"/>
        <v>75.265070306613424</v>
      </c>
      <c r="BG15">
        <f t="shared" si="30"/>
        <v>-54.685931641328573</v>
      </c>
      <c r="BH15">
        <f t="shared" si="45"/>
        <v>125.31406835867142</v>
      </c>
      <c r="BI15">
        <f t="shared" si="46"/>
        <v>125.31406835867142</v>
      </c>
      <c r="BJ15">
        <f t="shared" si="31"/>
        <v>0</v>
      </c>
      <c r="BK15">
        <f t="shared" si="47"/>
        <v>0</v>
      </c>
      <c r="BM15">
        <f t="shared" si="48"/>
        <v>23.448600625086577</v>
      </c>
      <c r="BN15">
        <f t="shared" si="32"/>
        <v>-4.7584366340507896E-2</v>
      </c>
      <c r="BQ15" s="66">
        <f t="shared" si="49"/>
        <v>68.718430481811993</v>
      </c>
      <c r="BR15" s="68"/>
      <c r="BS15" s="68"/>
      <c r="BT15" s="68">
        <v>112.202</v>
      </c>
      <c r="BU15" s="68">
        <v>34.297699999999999</v>
      </c>
      <c r="BV15" s="68">
        <v>-267.01279999999997</v>
      </c>
      <c r="BW15" s="75"/>
      <c r="BY15" s="68"/>
      <c r="BZ15" s="68"/>
      <c r="CA15" s="68"/>
      <c r="CC15" s="68"/>
    </row>
    <row r="16" spans="1:81" x14ac:dyDescent="0.2">
      <c r="A16">
        <v>8</v>
      </c>
      <c r="B16">
        <f t="shared" si="33"/>
        <v>8.0000000000000002E-3</v>
      </c>
      <c r="C16">
        <f t="shared" si="0"/>
        <v>1.0000001238169427</v>
      </c>
      <c r="D16">
        <f t="shared" si="1"/>
        <v>4.9762823468346251E-4</v>
      </c>
      <c r="F16">
        <f t="shared" si="2"/>
        <v>0.99160770636794082</v>
      </c>
      <c r="G16">
        <f t="shared" si="3"/>
        <v>-1.4467795077412514E-3</v>
      </c>
      <c r="H16">
        <f t="shared" si="4"/>
        <v>-1.4467795077412514E-3</v>
      </c>
      <c r="J16">
        <f t="shared" si="5"/>
        <v>15</v>
      </c>
      <c r="M16">
        <f t="shared" si="6"/>
        <v>421.68739474372688</v>
      </c>
      <c r="N16">
        <f t="shared" si="7"/>
        <v>-1.5707963250000001</v>
      </c>
      <c r="O16">
        <f t="shared" si="8"/>
        <v>1.0000028096789437</v>
      </c>
      <c r="P16">
        <f t="shared" si="9"/>
        <v>2.3705157097256993E-3</v>
      </c>
      <c r="Q16">
        <f t="shared" si="10"/>
        <v>1.0000053934518156</v>
      </c>
      <c r="R16">
        <f t="shared" si="11"/>
        <v>3.2843348107504246E-3</v>
      </c>
      <c r="S16">
        <f t="shared" si="12"/>
        <v>0.9999999554259007</v>
      </c>
      <c r="T16">
        <f t="shared" si="13"/>
        <v>-2.9857695658346706E-4</v>
      </c>
      <c r="U16">
        <f t="shared" si="14"/>
        <v>0.99999999999959099</v>
      </c>
      <c r="V16">
        <f t="shared" si="15"/>
        <v>-9.0443347958159249E-7</v>
      </c>
      <c r="X16">
        <f t="shared" si="34"/>
        <v>75.948507368004044</v>
      </c>
      <c r="Y16">
        <f t="shared" si="16"/>
        <v>-89.747542312869882</v>
      </c>
      <c r="Z16">
        <f t="shared" si="35"/>
        <v>90.252457687130118</v>
      </c>
      <c r="AC16">
        <v>1</v>
      </c>
      <c r="AD16">
        <f t="shared" si="17"/>
        <v>2.3705201499840001E-3</v>
      </c>
      <c r="AE16">
        <f t="shared" si="18"/>
        <v>-1.1915533887786614E-13</v>
      </c>
      <c r="AF16">
        <f t="shared" si="19"/>
        <v>1.317458293704E-7</v>
      </c>
      <c r="AG16">
        <f t="shared" si="36"/>
        <v>17986.267404642967</v>
      </c>
      <c r="AH16">
        <f t="shared" si="37"/>
        <v>-7590373.1216544667</v>
      </c>
      <c r="AJ16">
        <f t="shared" si="20"/>
        <v>18000</v>
      </c>
      <c r="AK16">
        <f t="shared" si="21"/>
        <v>5.3743853782079993</v>
      </c>
      <c r="AL16">
        <v>1</v>
      </c>
      <c r="AM16">
        <f t="shared" si="22"/>
        <v>3.284346620016E-3</v>
      </c>
      <c r="AN16">
        <f t="shared" si="38"/>
        <v>17999.8234884595</v>
      </c>
      <c r="AO16">
        <f t="shared" si="39"/>
        <v>-53.743274056998573</v>
      </c>
      <c r="AQ16">
        <f t="shared" si="23"/>
        <v>9997.4406551922712</v>
      </c>
      <c r="AR16">
        <f t="shared" si="24"/>
        <v>-159.95905048307634</v>
      </c>
      <c r="AT16">
        <f t="shared" si="40"/>
        <v>-1034332236.3657753</v>
      </c>
      <c r="AU16">
        <f t="shared" si="41"/>
        <v>-75887181900.762817</v>
      </c>
      <c r="AV16">
        <f t="shared" si="42"/>
        <v>-1.5844253503949939</v>
      </c>
      <c r="AW16">
        <f t="shared" si="25"/>
        <v>179915250.90677503</v>
      </c>
      <c r="AX16">
        <f t="shared" si="26"/>
        <v>-115374302.11148433</v>
      </c>
      <c r="AY16">
        <f t="shared" si="50"/>
        <v>-0.57021383008569548</v>
      </c>
      <c r="BA16">
        <f t="shared" si="27"/>
        <v>355.09312003543869</v>
      </c>
      <c r="BB16">
        <f t="shared" si="43"/>
        <v>51.006845157685916</v>
      </c>
      <c r="BC16">
        <f t="shared" si="44"/>
        <v>-1.0142115203092983</v>
      </c>
      <c r="BD16">
        <f t="shared" si="28"/>
        <v>-238.11003971366998</v>
      </c>
      <c r="BF16">
        <f t="shared" si="29"/>
        <v>74.455469279605609</v>
      </c>
      <c r="BG16">
        <f t="shared" si="30"/>
        <v>-58.164422075797781</v>
      </c>
      <c r="BH16">
        <f t="shared" si="45"/>
        <v>121.83557792420223</v>
      </c>
      <c r="BI16">
        <f t="shared" si="46"/>
        <v>121.83557792420223</v>
      </c>
      <c r="BJ16">
        <f t="shared" si="31"/>
        <v>0</v>
      </c>
      <c r="BK16">
        <f t="shared" si="47"/>
        <v>0</v>
      </c>
      <c r="BM16">
        <f t="shared" si="48"/>
        <v>23.448624121919689</v>
      </c>
      <c r="BN16">
        <f t="shared" si="32"/>
        <v>-5.4382362127821375E-2</v>
      </c>
      <c r="BQ16" s="66">
        <f t="shared" si="49"/>
        <v>67.908805957971055</v>
      </c>
      <c r="BR16" s="69"/>
      <c r="BS16" s="69"/>
      <c r="BT16" s="69">
        <v>114.815</v>
      </c>
      <c r="BU16" s="69">
        <v>33.346499999999999</v>
      </c>
      <c r="BV16" s="69">
        <v>-266.20479999999998</v>
      </c>
      <c r="BW16" s="75"/>
      <c r="BY16" s="69"/>
      <c r="BZ16" s="69"/>
      <c r="CA16" s="69"/>
      <c r="CC16" s="69"/>
    </row>
    <row r="17" spans="1:81" x14ac:dyDescent="0.2">
      <c r="A17">
        <v>9</v>
      </c>
      <c r="B17">
        <f t="shared" si="33"/>
        <v>8.9999999999999993E-3</v>
      </c>
      <c r="C17">
        <f t="shared" si="0"/>
        <v>1.0000001567058157</v>
      </c>
      <c r="D17">
        <f t="shared" si="1"/>
        <v>5.5983175174407292E-4</v>
      </c>
      <c r="F17">
        <f t="shared" si="2"/>
        <v>0.99161071389956568</v>
      </c>
      <c r="G17">
        <f t="shared" si="3"/>
        <v>-1.6276320336089019E-3</v>
      </c>
      <c r="H17">
        <f t="shared" si="4"/>
        <v>-1.6276320336089019E-3</v>
      </c>
      <c r="J17">
        <f t="shared" si="5"/>
        <v>15</v>
      </c>
      <c r="M17">
        <f t="shared" si="6"/>
        <v>374.83323977220169</v>
      </c>
      <c r="N17">
        <f t="shared" si="7"/>
        <v>-1.5707963250000001</v>
      </c>
      <c r="O17">
        <f t="shared" si="8"/>
        <v>1.000003555998586</v>
      </c>
      <c r="P17">
        <f t="shared" si="9"/>
        <v>2.6668288465730113E-3</v>
      </c>
      <c r="Q17">
        <f t="shared" si="10"/>
        <v>1.0000068260825643</v>
      </c>
      <c r="R17">
        <f t="shared" si="11"/>
        <v>3.6948731331824442E-3</v>
      </c>
      <c r="S17">
        <f t="shared" si="12"/>
        <v>0.99999994358590671</v>
      </c>
      <c r="T17">
        <f t="shared" si="13"/>
        <v>-3.3589907350503823E-4</v>
      </c>
      <c r="U17">
        <f t="shared" si="14"/>
        <v>0.99999999999948241</v>
      </c>
      <c r="V17">
        <f t="shared" si="15"/>
        <v>-1.0174876645292179E-6</v>
      </c>
      <c r="X17">
        <f t="shared" si="34"/>
        <v>74.925502372045514</v>
      </c>
      <c r="Y17">
        <f t="shared" si="16"/>
        <v>-89.715985672232264</v>
      </c>
      <c r="Z17">
        <f t="shared" si="35"/>
        <v>90.284014327767736</v>
      </c>
      <c r="AC17">
        <v>1</v>
      </c>
      <c r="AD17">
        <f t="shared" si="17"/>
        <v>2.6668351687319999E-3</v>
      </c>
      <c r="AE17">
        <f t="shared" si="18"/>
        <v>-1.5080597576729932E-13</v>
      </c>
      <c r="AF17">
        <f t="shared" si="19"/>
        <v>1.4821405804170002E-7</v>
      </c>
      <c r="AG17">
        <f t="shared" si="36"/>
        <v>17986.26740463906</v>
      </c>
      <c r="AH17">
        <f t="shared" si="37"/>
        <v>-6746998.3342004353</v>
      </c>
      <c r="AJ17">
        <f t="shared" si="20"/>
        <v>18000</v>
      </c>
      <c r="AK17">
        <f t="shared" si="21"/>
        <v>6.0461835504839998</v>
      </c>
      <c r="AL17">
        <v>1</v>
      </c>
      <c r="AM17">
        <f t="shared" si="22"/>
        <v>3.6948899475180001E-3</v>
      </c>
      <c r="AN17">
        <f t="shared" si="38"/>
        <v>17999.776603221646</v>
      </c>
      <c r="AO17">
        <f t="shared" si="39"/>
        <v>-60.461010078329352</v>
      </c>
      <c r="AQ17">
        <f t="shared" si="23"/>
        <v>9996.7610494199889</v>
      </c>
      <c r="AR17">
        <f t="shared" si="24"/>
        <v>-179.94169888955977</v>
      </c>
      <c r="AT17">
        <f t="shared" si="40"/>
        <v>-1034261925.2459079</v>
      </c>
      <c r="AU17">
        <f t="shared" si="41"/>
        <v>-67451366627.349937</v>
      </c>
      <c r="AV17">
        <f t="shared" si="42"/>
        <v>-1.5861285718138143</v>
      </c>
      <c r="AW17">
        <f t="shared" si="25"/>
        <v>179900266.89013755</v>
      </c>
      <c r="AX17">
        <f t="shared" si="26"/>
        <v>-103361289.86988109</v>
      </c>
      <c r="AY17">
        <f t="shared" si="50"/>
        <v>-0.52149432006835916</v>
      </c>
      <c r="BA17">
        <f t="shared" si="27"/>
        <v>325.13746540535095</v>
      </c>
      <c r="BB17">
        <f t="shared" si="43"/>
        <v>50.24134031771829</v>
      </c>
      <c r="BC17">
        <f t="shared" si="44"/>
        <v>-1.064634251745455</v>
      </c>
      <c r="BD17">
        <f t="shared" si="28"/>
        <v>-240.99904941978454</v>
      </c>
      <c r="BF17">
        <f t="shared" si="29"/>
        <v>73.689991069442954</v>
      </c>
      <c r="BG17">
        <f t="shared" si="30"/>
        <v>-61.060229869368193</v>
      </c>
      <c r="BH17">
        <f t="shared" si="45"/>
        <v>118.93977013063181</v>
      </c>
      <c r="BI17">
        <f t="shared" si="46"/>
        <v>118.93977013063181</v>
      </c>
      <c r="BJ17">
        <f t="shared" si="31"/>
        <v>0</v>
      </c>
      <c r="BK17">
        <f t="shared" si="47"/>
        <v>0</v>
      </c>
      <c r="BM17">
        <f t="shared" si="48"/>
        <v>23.448650751724657</v>
      </c>
      <c r="BN17">
        <f t="shared" si="32"/>
        <v>-6.1180449583643257E-2</v>
      </c>
      <c r="BQ17" s="66">
        <f t="shared" si="49"/>
        <v>67.143301118003421</v>
      </c>
      <c r="BR17" s="69"/>
      <c r="BS17" s="69"/>
      <c r="BT17" s="69">
        <v>117.49</v>
      </c>
      <c r="BU17" s="69">
        <v>33.0246</v>
      </c>
      <c r="BV17" s="69">
        <v>-264.9049</v>
      </c>
      <c r="BW17" s="75"/>
      <c r="BY17" s="69"/>
      <c r="BZ17" s="69"/>
      <c r="CA17" s="69"/>
      <c r="CC17" s="69"/>
    </row>
    <row r="18" spans="1:81" x14ac:dyDescent="0.2">
      <c r="A18">
        <v>10</v>
      </c>
      <c r="B18">
        <f t="shared" si="33"/>
        <v>0.01</v>
      </c>
      <c r="C18">
        <f t="shared" si="0"/>
        <v>1.0000001934639664</v>
      </c>
      <c r="D18">
        <f t="shared" si="1"/>
        <v>6.2203526447239435E-4</v>
      </c>
      <c r="F18">
        <f t="shared" si="2"/>
        <v>0.99161407527796019</v>
      </c>
      <c r="G18">
        <f t="shared" si="3"/>
        <v>-1.808486355068799E-3</v>
      </c>
      <c r="H18">
        <f t="shared" si="4"/>
        <v>-1.808486355068799E-3</v>
      </c>
      <c r="J18">
        <f t="shared" si="5"/>
        <v>15</v>
      </c>
      <c r="M18">
        <f t="shared" si="6"/>
        <v>337.34991579498154</v>
      </c>
      <c r="N18">
        <f t="shared" si="7"/>
        <v>-1.5707963250000001</v>
      </c>
      <c r="O18">
        <f t="shared" si="8"/>
        <v>1.0000043901198803</v>
      </c>
      <c r="P18">
        <f t="shared" si="9"/>
        <v>2.9631415151169537E-3</v>
      </c>
      <c r="Q18">
        <f t="shared" si="10"/>
        <v>1.0000084272556784</v>
      </c>
      <c r="R18">
        <f t="shared" si="11"/>
        <v>4.105410210132142E-3</v>
      </c>
      <c r="S18">
        <f t="shared" si="12"/>
        <v>0.99999993035297274</v>
      </c>
      <c r="T18">
        <f t="shared" si="13"/>
        <v>-3.7322118949083461E-4</v>
      </c>
      <c r="U18">
        <f t="shared" si="14"/>
        <v>0.99999999999936096</v>
      </c>
      <c r="V18">
        <f t="shared" si="15"/>
        <v>-1.1305418494768172E-6</v>
      </c>
      <c r="X18">
        <f t="shared" si="34"/>
        <v>74.010403361254362</v>
      </c>
      <c r="Y18">
        <f t="shared" si="16"/>
        <v>-89.684429232861788</v>
      </c>
      <c r="Z18">
        <f t="shared" si="35"/>
        <v>90.315570767138212</v>
      </c>
      <c r="AC18">
        <v>1</v>
      </c>
      <c r="AD18">
        <f t="shared" si="17"/>
        <v>2.9631501874800002E-3</v>
      </c>
      <c r="AE18">
        <f t="shared" si="18"/>
        <v>-1.8618021699666581E-13</v>
      </c>
      <c r="AF18">
        <f t="shared" si="19"/>
        <v>1.6468228671300001E-7</v>
      </c>
      <c r="AG18">
        <f t="shared" si="36"/>
        <v>17986.267404634695</v>
      </c>
      <c r="AH18">
        <f t="shared" si="37"/>
        <v>-6072298.5046438957</v>
      </c>
      <c r="AJ18">
        <f t="shared" si="20"/>
        <v>18000</v>
      </c>
      <c r="AK18">
        <f t="shared" si="21"/>
        <v>6.7179817227600003</v>
      </c>
      <c r="AL18">
        <v>1</v>
      </c>
      <c r="AM18">
        <f t="shared" si="22"/>
        <v>4.1054332750200002E-3</v>
      </c>
      <c r="AN18">
        <f t="shared" si="38"/>
        <v>17999.724202391397</v>
      </c>
      <c r="AO18">
        <f t="shared" si="39"/>
        <v>-67.178684958920471</v>
      </c>
      <c r="AQ18">
        <f t="shared" si="23"/>
        <v>9996.0015993602556</v>
      </c>
      <c r="AR18">
        <f t="shared" si="24"/>
        <v>-199.92003198720514</v>
      </c>
      <c r="AT18">
        <f t="shared" si="40"/>
        <v>-1034183353.5410159</v>
      </c>
      <c r="AU18">
        <f t="shared" si="41"/>
        <v>-60702301379.368134</v>
      </c>
      <c r="AV18">
        <f t="shared" si="42"/>
        <v>-1.5878316497947795</v>
      </c>
      <c r="AW18">
        <f t="shared" si="25"/>
        <v>179883522.47728637</v>
      </c>
      <c r="AX18">
        <f t="shared" si="26"/>
        <v>-93836137.500849739</v>
      </c>
      <c r="AY18">
        <f t="shared" si="50"/>
        <v>-0.48081677246200655</v>
      </c>
      <c r="BA18">
        <f t="shared" si="27"/>
        <v>299.23547012574772</v>
      </c>
      <c r="BB18">
        <f t="shared" si="43"/>
        <v>49.520261434039455</v>
      </c>
      <c r="BC18">
        <f t="shared" si="44"/>
        <v>-1.107014877332773</v>
      </c>
      <c r="BD18">
        <f t="shared" si="28"/>
        <v>-243.42728040183667</v>
      </c>
      <c r="BF18">
        <f t="shared" si="29"/>
        <v>72.968941948563725</v>
      </c>
      <c r="BG18">
        <f t="shared" si="30"/>
        <v>-63.495259042004207</v>
      </c>
      <c r="BH18">
        <f t="shared" si="45"/>
        <v>116.50474095799579</v>
      </c>
      <c r="BI18">
        <f t="shared" si="46"/>
        <v>116.50474095799579</v>
      </c>
      <c r="BJ18">
        <f t="shared" si="31"/>
        <v>0</v>
      </c>
      <c r="BK18">
        <f t="shared" si="47"/>
        <v>0</v>
      </c>
      <c r="BM18">
        <f t="shared" si="48"/>
        <v>23.448680514524256</v>
      </c>
      <c r="BN18">
        <f t="shared" si="32"/>
        <v>-6.7978640167544582E-2</v>
      </c>
      <c r="BQ18" s="66">
        <f t="shared" si="49"/>
        <v>66.422222234324593</v>
      </c>
      <c r="BR18" s="69"/>
      <c r="BS18" s="69"/>
      <c r="BT18" s="69">
        <v>120.226</v>
      </c>
      <c r="BU18" s="69">
        <v>33.735999999999997</v>
      </c>
      <c r="BV18" s="69">
        <v>-269.98079999999999</v>
      </c>
      <c r="BW18" s="75"/>
      <c r="BY18" s="69"/>
      <c r="BZ18" s="69"/>
      <c r="CA18" s="69"/>
      <c r="CC18" s="69"/>
    </row>
    <row r="19" spans="1:81" x14ac:dyDescent="0.2">
      <c r="A19">
        <f>A10*10</f>
        <v>20</v>
      </c>
      <c r="B19">
        <f t="shared" si="33"/>
        <v>0.02</v>
      </c>
      <c r="C19">
        <f t="shared" si="0"/>
        <v>1.0000007738556407</v>
      </c>
      <c r="D19">
        <f t="shared" si="1"/>
        <v>1.244070047579601E-3</v>
      </c>
      <c r="F19">
        <f t="shared" si="2"/>
        <v>0.99166715240484959</v>
      </c>
      <c r="G19">
        <f t="shared" si="3"/>
        <v>-3.6171722282610009E-3</v>
      </c>
      <c r="H19">
        <f t="shared" si="4"/>
        <v>-3.6171722282610009E-3</v>
      </c>
      <c r="J19">
        <f t="shared" si="5"/>
        <v>15</v>
      </c>
      <c r="M19">
        <f t="shared" si="6"/>
        <v>168.67495789749077</v>
      </c>
      <c r="N19">
        <f t="shared" si="7"/>
        <v>-1.5707963250000001</v>
      </c>
      <c r="O19">
        <f t="shared" si="8"/>
        <v>1.0000175603638839</v>
      </c>
      <c r="P19">
        <f t="shared" si="9"/>
        <v>5.9262309971520963E-3</v>
      </c>
      <c r="Q19">
        <f t="shared" si="10"/>
        <v>1.0000337085966167</v>
      </c>
      <c r="R19">
        <f t="shared" si="11"/>
        <v>8.2106820365348415E-3</v>
      </c>
      <c r="S19">
        <f t="shared" si="12"/>
        <v>0.9999997214119779</v>
      </c>
      <c r="T19">
        <f t="shared" si="13"/>
        <v>-7.4644227500671146E-4</v>
      </c>
      <c r="U19">
        <f t="shared" si="14"/>
        <v>0.99999999999744382</v>
      </c>
      <c r="V19">
        <f t="shared" si="15"/>
        <v>-2.2610836989507447E-6</v>
      </c>
      <c r="X19">
        <f t="shared" si="34"/>
        <v>67.990605563091989</v>
      </c>
      <c r="Y19">
        <f t="shared" si="16"/>
        <v>-89.368880828972522</v>
      </c>
      <c r="Z19">
        <f t="shared" si="35"/>
        <v>90.631119171027478</v>
      </c>
      <c r="AC19">
        <v>1</v>
      </c>
      <c r="AD19">
        <f t="shared" si="17"/>
        <v>5.9263003749600003E-3</v>
      </c>
      <c r="AE19">
        <f t="shared" si="18"/>
        <v>-7.4472086798666323E-13</v>
      </c>
      <c r="AF19">
        <f t="shared" si="19"/>
        <v>3.2936457342600002E-7</v>
      </c>
      <c r="AG19">
        <f t="shared" si="36"/>
        <v>17986.267404565726</v>
      </c>
      <c r="AH19">
        <f t="shared" si="37"/>
        <v>-3036149.2828232893</v>
      </c>
      <c r="AJ19">
        <f t="shared" si="20"/>
        <v>18000</v>
      </c>
      <c r="AK19">
        <f t="shared" si="21"/>
        <v>13.435963445520001</v>
      </c>
      <c r="AL19">
        <v>1</v>
      </c>
      <c r="AM19">
        <f t="shared" si="22"/>
        <v>8.2108665500400004E-3</v>
      </c>
      <c r="AN19">
        <f t="shared" si="38"/>
        <v>17998.896865343271</v>
      </c>
      <c r="AO19">
        <f t="shared" si="39"/>
        <v>-134.35057676374686</v>
      </c>
      <c r="AQ19">
        <f t="shared" si="23"/>
        <v>9984.0255591054301</v>
      </c>
      <c r="AR19">
        <f t="shared" si="24"/>
        <v>-399.36102236421721</v>
      </c>
      <c r="AT19">
        <f t="shared" si="40"/>
        <v>-1032944328.1586045</v>
      </c>
      <c r="AU19">
        <f t="shared" si="41"/>
        <v>-30320175055.106544</v>
      </c>
      <c r="AV19">
        <f t="shared" si="42"/>
        <v>-1.6048510440047334</v>
      </c>
      <c r="AW19">
        <f t="shared" si="25"/>
        <v>179619476.44013968</v>
      </c>
      <c r="AX19">
        <f t="shared" si="26"/>
        <v>-53312041.150229603</v>
      </c>
      <c r="AY19">
        <f t="shared" si="50"/>
        <v>-0.288523452237753</v>
      </c>
      <c r="BA19">
        <f t="shared" si="27"/>
        <v>161.91871689382194</v>
      </c>
      <c r="BB19">
        <f t="shared" si="43"/>
        <v>44.185941073137194</v>
      </c>
      <c r="BC19">
        <f t="shared" si="44"/>
        <v>-1.3163275917669806</v>
      </c>
      <c r="BD19">
        <f t="shared" si="28"/>
        <v>-255.42001555104747</v>
      </c>
      <c r="BF19">
        <f t="shared" si="29"/>
        <v>67.635091537292581</v>
      </c>
      <c r="BG19">
        <f t="shared" si="30"/>
        <v>-75.555984290509187</v>
      </c>
      <c r="BH19">
        <f t="shared" si="45"/>
        <v>104.44401570949081</v>
      </c>
      <c r="BI19">
        <f t="shared" si="46"/>
        <v>104.44401570949081</v>
      </c>
      <c r="BJ19">
        <f t="shared" si="31"/>
        <v>0</v>
      </c>
      <c r="BK19">
        <f t="shared" si="47"/>
        <v>0</v>
      </c>
      <c r="BM19">
        <f t="shared" si="48"/>
        <v>23.449150464155398</v>
      </c>
      <c r="BN19">
        <f t="shared" si="32"/>
        <v>-0.13596873946170326</v>
      </c>
      <c r="BQ19" s="66">
        <f t="shared" si="49"/>
        <v>61.087901873422332</v>
      </c>
      <c r="BR19" s="69"/>
      <c r="BS19" s="69"/>
      <c r="BT19" s="69">
        <v>123.027</v>
      </c>
      <c r="BU19" s="69">
        <v>32.764899999999997</v>
      </c>
      <c r="BV19" s="69">
        <v>-265.73410000000001</v>
      </c>
      <c r="BW19" s="75"/>
      <c r="BY19" s="69"/>
      <c r="BZ19" s="69"/>
      <c r="CA19" s="69"/>
      <c r="CC19" s="69"/>
    </row>
    <row r="20" spans="1:81" x14ac:dyDescent="0.2">
      <c r="A20">
        <f t="shared" ref="A20:A36" si="51">A11*10</f>
        <v>30</v>
      </c>
      <c r="B20">
        <f t="shared" si="33"/>
        <v>0.03</v>
      </c>
      <c r="C20">
        <f t="shared" si="0"/>
        <v>1.0000017411743494</v>
      </c>
      <c r="D20">
        <f t="shared" si="1"/>
        <v>1.8661038679586672E-3</v>
      </c>
      <c r="F20">
        <f t="shared" si="2"/>
        <v>0.99175562569992937</v>
      </c>
      <c r="G20">
        <f t="shared" si="3"/>
        <v>-5.4262572066744721E-3</v>
      </c>
      <c r="H20">
        <f t="shared" si="4"/>
        <v>-5.4262572066744721E-3</v>
      </c>
      <c r="J20">
        <f t="shared" si="5"/>
        <v>15</v>
      </c>
      <c r="M20">
        <f t="shared" si="6"/>
        <v>112.44997193166051</v>
      </c>
      <c r="N20">
        <f t="shared" si="7"/>
        <v>-1.5707963250000001</v>
      </c>
      <c r="O20">
        <f t="shared" si="8"/>
        <v>1.0000395103851158</v>
      </c>
      <c r="P20">
        <f t="shared" si="9"/>
        <v>8.8892164185056469E-3</v>
      </c>
      <c r="Q20">
        <f t="shared" si="10"/>
        <v>1.0000758427446295</v>
      </c>
      <c r="R20">
        <f t="shared" si="11"/>
        <v>1.2315677123464151E-2</v>
      </c>
      <c r="S20">
        <f t="shared" si="12"/>
        <v>0.99999937317727794</v>
      </c>
      <c r="T20">
        <f t="shared" si="13"/>
        <v>-1.1196631525728464E-3</v>
      </c>
      <c r="U20">
        <f t="shared" si="14"/>
        <v>0.9999999999942486</v>
      </c>
      <c r="V20">
        <f t="shared" si="15"/>
        <v>-3.3916255484188919E-6</v>
      </c>
      <c r="X20">
        <f t="shared" si="34"/>
        <v>64.470117253826416</v>
      </c>
      <c r="Y20">
        <f t="shared" si="16"/>
        <v>-89.053377153615415</v>
      </c>
      <c r="Z20">
        <f t="shared" si="35"/>
        <v>90.946622846384585</v>
      </c>
      <c r="AC20">
        <v>1</v>
      </c>
      <c r="AD20">
        <f t="shared" si="17"/>
        <v>8.889450562440001E-3</v>
      </c>
      <c r="AE20">
        <f t="shared" si="18"/>
        <v>-1.6756219529699926E-12</v>
      </c>
      <c r="AF20">
        <f t="shared" si="19"/>
        <v>4.9404686013900001E-7</v>
      </c>
      <c r="AG20">
        <f t="shared" si="36"/>
        <v>17986.267404450788</v>
      </c>
      <c r="AH20">
        <f t="shared" si="37"/>
        <v>-2024099.5557725737</v>
      </c>
      <c r="AJ20">
        <f t="shared" si="20"/>
        <v>18000</v>
      </c>
      <c r="AK20">
        <f t="shared" si="21"/>
        <v>20.15394516828</v>
      </c>
      <c r="AL20">
        <v>1</v>
      </c>
      <c r="AM20">
        <f t="shared" si="22"/>
        <v>1.2316299825059999E-2</v>
      </c>
      <c r="AN20">
        <f t="shared" si="38"/>
        <v>17997.51815616047</v>
      </c>
      <c r="AO20">
        <f t="shared" si="39"/>
        <v>-201.50888454995331</v>
      </c>
      <c r="AQ20">
        <f t="shared" si="23"/>
        <v>9964.1291351135915</v>
      </c>
      <c r="AR20">
        <f t="shared" si="24"/>
        <v>-597.8477481068154</v>
      </c>
      <c r="AT20">
        <f t="shared" si="40"/>
        <v>-1030885870.2860065</v>
      </c>
      <c r="AU20">
        <f t="shared" si="41"/>
        <v>-20179142405.508579</v>
      </c>
      <c r="AV20">
        <f t="shared" si="42"/>
        <v>-1.6218386571231471</v>
      </c>
      <c r="AW20">
        <f t="shared" si="25"/>
        <v>179180813.7996867</v>
      </c>
      <c r="AX20">
        <f t="shared" si="26"/>
        <v>-42622237.443449721</v>
      </c>
      <c r="AY20">
        <f t="shared" si="50"/>
        <v>-0.23353264214031424</v>
      </c>
      <c r="BA20">
        <f t="shared" si="27"/>
        <v>109.70471180419949</v>
      </c>
      <c r="BB20">
        <f t="shared" si="43"/>
        <v>40.804505617422876</v>
      </c>
      <c r="BC20">
        <f t="shared" si="44"/>
        <v>-1.3883060149828328</v>
      </c>
      <c r="BD20">
        <f t="shared" si="28"/>
        <v>-259.54407542203472</v>
      </c>
      <c r="BF20">
        <f t="shared" si="29"/>
        <v>64.254439375647522</v>
      </c>
      <c r="BG20">
        <f t="shared" si="30"/>
        <v>-79.748057182995609</v>
      </c>
      <c r="BH20">
        <f t="shared" si="45"/>
        <v>100.25194281700439</v>
      </c>
      <c r="BI20">
        <f t="shared" si="46"/>
        <v>100.25194281700439</v>
      </c>
      <c r="BJ20">
        <f t="shared" si="31"/>
        <v>0</v>
      </c>
      <c r="BK20">
        <f t="shared" si="47"/>
        <v>0</v>
      </c>
      <c r="BM20">
        <f t="shared" si="48"/>
        <v>23.449933758224649</v>
      </c>
      <c r="BN20">
        <f t="shared" si="32"/>
        <v>-0.20398176096090778</v>
      </c>
      <c r="BQ20" s="66">
        <f t="shared" si="49"/>
        <v>57.706466417708</v>
      </c>
      <c r="BR20" s="70"/>
      <c r="BS20" s="70"/>
      <c r="BT20" s="70">
        <v>125.893</v>
      </c>
      <c r="BU20" s="70">
        <v>32.247199999999999</v>
      </c>
      <c r="BV20" s="70">
        <v>-266.37110000000001</v>
      </c>
      <c r="BW20" s="75"/>
      <c r="BY20" s="70"/>
      <c r="BZ20" s="70"/>
      <c r="CA20" s="70"/>
      <c r="CC20" s="70"/>
    </row>
    <row r="21" spans="1:81" x14ac:dyDescent="0.2">
      <c r="A21">
        <f t="shared" si="51"/>
        <v>40</v>
      </c>
      <c r="B21">
        <f t="shared" si="33"/>
        <v>0.04</v>
      </c>
      <c r="C21">
        <f t="shared" si="0"/>
        <v>1.0000030954189696</v>
      </c>
      <c r="D21">
        <f t="shared" si="1"/>
        <v>2.4881362442511108E-3</v>
      </c>
      <c r="F21">
        <f t="shared" si="2"/>
        <v>0.99187951229365212</v>
      </c>
      <c r="G21">
        <f t="shared" si="3"/>
        <v>-7.2359410154025959E-3</v>
      </c>
      <c r="H21">
        <f t="shared" si="4"/>
        <v>-7.2359410154025959E-3</v>
      </c>
      <c r="J21">
        <f t="shared" si="5"/>
        <v>15</v>
      </c>
      <c r="M21">
        <f t="shared" si="6"/>
        <v>84.337478948745385</v>
      </c>
      <c r="N21">
        <f t="shared" si="7"/>
        <v>-1.5707963250000001</v>
      </c>
      <c r="O21">
        <f t="shared" si="8"/>
        <v>1.0000702396054675</v>
      </c>
      <c r="P21">
        <f t="shared" si="9"/>
        <v>1.1852045762540443E-2</v>
      </c>
      <c r="Q21">
        <f t="shared" si="10"/>
        <v>1.0001348275697683</v>
      </c>
      <c r="R21">
        <f t="shared" si="11"/>
        <v>1.6420257171132976E-2</v>
      </c>
      <c r="S21">
        <f t="shared" si="12"/>
        <v>0.99999888564930883</v>
      </c>
      <c r="T21">
        <f t="shared" si="13"/>
        <v>-1.4928837182148036E-3</v>
      </c>
      <c r="U21">
        <f t="shared" si="14"/>
        <v>0.99999999998977485</v>
      </c>
      <c r="V21">
        <f t="shared" si="15"/>
        <v>-4.5221673978783697E-6</v>
      </c>
      <c r="X21">
        <f t="shared" si="34"/>
        <v>61.973214170237014</v>
      </c>
      <c r="Y21">
        <f t="shared" si="16"/>
        <v>-88.737940576145789</v>
      </c>
      <c r="Z21">
        <f t="shared" si="35"/>
        <v>91.262059423854211</v>
      </c>
      <c r="AC21">
        <v>1</v>
      </c>
      <c r="AD21">
        <f t="shared" si="17"/>
        <v>1.1852600749920001E-2</v>
      </c>
      <c r="AE21">
        <f t="shared" si="18"/>
        <v>-2.9788834719466529E-12</v>
      </c>
      <c r="AF21">
        <f t="shared" si="19"/>
        <v>6.5872914685200005E-7</v>
      </c>
      <c r="AG21">
        <f t="shared" si="36"/>
        <v>17986.267404289862</v>
      </c>
      <c r="AH21">
        <f t="shared" si="37"/>
        <v>-1518074.7024143287</v>
      </c>
      <c r="AJ21">
        <f t="shared" si="20"/>
        <v>18000</v>
      </c>
      <c r="AK21">
        <f t="shared" si="21"/>
        <v>26.871926891040001</v>
      </c>
      <c r="AL21">
        <v>1</v>
      </c>
      <c r="AM21">
        <f t="shared" si="22"/>
        <v>1.6421733100080001E-2</v>
      </c>
      <c r="AN21">
        <f t="shared" si="38"/>
        <v>17995.588353590429</v>
      </c>
      <c r="AO21">
        <f t="shared" si="39"/>
        <v>-268.64682203053007</v>
      </c>
      <c r="AQ21">
        <f t="shared" si="23"/>
        <v>9936.4069952305254</v>
      </c>
      <c r="AR21">
        <f t="shared" si="24"/>
        <v>-794.91255961844195</v>
      </c>
      <c r="AT21">
        <f t="shared" si="40"/>
        <v>-1028017774.134106</v>
      </c>
      <c r="AU21">
        <f t="shared" si="41"/>
        <v>-15098505602.212559</v>
      </c>
      <c r="AV21">
        <f t="shared" si="42"/>
        <v>-1.6387787889119911</v>
      </c>
      <c r="AW21">
        <f t="shared" si="25"/>
        <v>178569637.97814462</v>
      </c>
      <c r="AX21">
        <f t="shared" si="26"/>
        <v>-39364749.021349706</v>
      </c>
      <c r="AY21">
        <f t="shared" si="50"/>
        <v>-0.21697453566096092</v>
      </c>
      <c r="BA21">
        <f t="shared" si="27"/>
        <v>82.761167984066901</v>
      </c>
      <c r="BB21">
        <f t="shared" si="43"/>
        <v>38.356532222149397</v>
      </c>
      <c r="BC21">
        <f t="shared" si="44"/>
        <v>-1.4218042532510302</v>
      </c>
      <c r="BD21">
        <f t="shared" si="28"/>
        <v>-261.46338309811915</v>
      </c>
      <c r="BF21">
        <f t="shared" si="29"/>
        <v>61.807562685916231</v>
      </c>
      <c r="BG21">
        <f t="shared" si="30"/>
        <v>-81.735412273769072</v>
      </c>
      <c r="BH21">
        <f t="shared" si="45"/>
        <v>98.264587726230928</v>
      </c>
      <c r="BI21">
        <f t="shared" si="46"/>
        <v>98.264587726230928</v>
      </c>
      <c r="BJ21">
        <f t="shared" si="31"/>
        <v>0</v>
      </c>
      <c r="BK21">
        <f t="shared" si="47"/>
        <v>0</v>
      </c>
      <c r="BM21">
        <f t="shared" si="48"/>
        <v>23.451030463766834</v>
      </c>
      <c r="BN21">
        <f t="shared" si="32"/>
        <v>-0.27202917564989443</v>
      </c>
      <c r="BQ21" s="66">
        <f t="shared" si="49"/>
        <v>55.258493022434536</v>
      </c>
      <c r="BR21" s="70"/>
      <c r="BS21" s="70"/>
      <c r="BT21" s="70">
        <v>128.82499999999999</v>
      </c>
      <c r="BU21" s="70">
        <v>32.3142</v>
      </c>
      <c r="BV21" s="70">
        <v>-268.05959999999999</v>
      </c>
      <c r="BW21" s="75"/>
      <c r="BY21" s="70"/>
      <c r="BZ21" s="70"/>
      <c r="CA21" s="70"/>
      <c r="CC21" s="70"/>
    </row>
    <row r="22" spans="1:81" x14ac:dyDescent="0.2">
      <c r="A22">
        <f t="shared" si="51"/>
        <v>50</v>
      </c>
      <c r="B22">
        <f t="shared" si="33"/>
        <v>0.05</v>
      </c>
      <c r="C22">
        <f t="shared" si="0"/>
        <v>1.0000048365879295</v>
      </c>
      <c r="D22">
        <f t="shared" si="1"/>
        <v>3.1101666951051533E-3</v>
      </c>
      <c r="F22">
        <f t="shared" si="2"/>
        <v>0.99203883617876665</v>
      </c>
      <c r="G22">
        <f t="shared" si="3"/>
        <v>-9.0464235866485783E-3</v>
      </c>
      <c r="H22">
        <f t="shared" si="4"/>
        <v>-9.0464235866485783E-3</v>
      </c>
      <c r="J22">
        <f t="shared" si="5"/>
        <v>15</v>
      </c>
      <c r="M22">
        <f t="shared" si="6"/>
        <v>67.4699831589963</v>
      </c>
      <c r="N22">
        <f t="shared" si="7"/>
        <v>-1.5707963250000001</v>
      </c>
      <c r="O22">
        <f t="shared" si="8"/>
        <v>1.0001097472156939</v>
      </c>
      <c r="P22">
        <f t="shared" si="9"/>
        <v>1.4814667029059635E-2</v>
      </c>
      <c r="Q22">
        <f t="shared" si="10"/>
        <v>1.0002106600908587</v>
      </c>
      <c r="R22">
        <f t="shared" si="11"/>
        <v>2.0524283963654136E-2</v>
      </c>
      <c r="S22">
        <f t="shared" si="12"/>
        <v>0.99999825882868232</v>
      </c>
      <c r="T22">
        <f t="shared" si="13"/>
        <v>-1.866103867958667E-3</v>
      </c>
      <c r="U22">
        <f t="shared" si="14"/>
        <v>0.99999999998402345</v>
      </c>
      <c r="V22">
        <f t="shared" si="15"/>
        <v>-5.6527092473262876E-6</v>
      </c>
      <c r="X22">
        <f t="shared" si="34"/>
        <v>60.037420363415379</v>
      </c>
      <c r="Y22">
        <f t="shared" si="16"/>
        <v>-88.422593472036041</v>
      </c>
      <c r="Z22">
        <f t="shared" si="35"/>
        <v>91.577406527963959</v>
      </c>
      <c r="AC22">
        <v>1</v>
      </c>
      <c r="AD22">
        <f t="shared" si="17"/>
        <v>1.4815750937400002E-2</v>
      </c>
      <c r="AE22">
        <f t="shared" si="18"/>
        <v>-4.6545054249166449E-12</v>
      </c>
      <c r="AF22">
        <f t="shared" si="19"/>
        <v>8.2341143356500009E-7</v>
      </c>
      <c r="AG22">
        <f t="shared" si="36"/>
        <v>17986.267404082966</v>
      </c>
      <c r="AH22">
        <f t="shared" si="37"/>
        <v>-1214459.7985330734</v>
      </c>
      <c r="AJ22">
        <f t="shared" si="20"/>
        <v>18000</v>
      </c>
      <c r="AK22">
        <f t="shared" si="21"/>
        <v>33.589908613799999</v>
      </c>
      <c r="AL22">
        <v>1</v>
      </c>
      <c r="AM22">
        <f t="shared" si="22"/>
        <v>2.0527166375100003E-2</v>
      </c>
      <c r="AN22">
        <f t="shared" si="38"/>
        <v>17993.107847682324</v>
      </c>
      <c r="AO22">
        <f t="shared" si="39"/>
        <v>-335.75760978069258</v>
      </c>
      <c r="AQ22">
        <f t="shared" si="23"/>
        <v>9900.9900990099013</v>
      </c>
      <c r="AR22">
        <f t="shared" si="24"/>
        <v>-990.09900990099004</v>
      </c>
      <c r="AT22">
        <f t="shared" ref="AT22:AT85" si="52">-AR22*AH22+AG22*AQ22</f>
        <v>-1024353588.6061819</v>
      </c>
      <c r="AU22">
        <f t="shared" ref="AU22:AU85" si="53">AQ22*AH22+AG22*AR22</f>
        <v>-12042162626.470116</v>
      </c>
      <c r="AV22">
        <f t="shared" si="42"/>
        <v>-1.6556559649662461</v>
      </c>
      <c r="AW22">
        <f t="shared" si="25"/>
        <v>177788858.75068179</v>
      </c>
      <c r="AX22">
        <f t="shared" si="26"/>
        <v>-39051128.031291746</v>
      </c>
      <c r="AY22">
        <f t="shared" si="50"/>
        <v>-0.21621539320596123</v>
      </c>
      <c r="BA22">
        <f t="shared" si="27"/>
        <v>66.39479054873155</v>
      </c>
      <c r="BB22">
        <f t="shared" si="43"/>
        <v>36.442680104018585</v>
      </c>
      <c r="BC22">
        <f t="shared" si="44"/>
        <v>-1.4394405717602849</v>
      </c>
      <c r="BD22">
        <f t="shared" si="28"/>
        <v>-262.47386971600258</v>
      </c>
      <c r="BF22">
        <f t="shared" si="29"/>
        <v>59.895120778666886</v>
      </c>
      <c r="BG22">
        <f t="shared" si="30"/>
        <v>-82.813992182382108</v>
      </c>
      <c r="BH22">
        <f t="shared" si="45"/>
        <v>97.186007817617892</v>
      </c>
      <c r="BI22">
        <f t="shared" si="46"/>
        <v>97.186007817617892</v>
      </c>
      <c r="BJ22">
        <f t="shared" si="31"/>
        <v>0</v>
      </c>
      <c r="BK22">
        <f t="shared" si="47"/>
        <v>0</v>
      </c>
      <c r="BM22">
        <f t="shared" si="48"/>
        <v>23.452440674648294</v>
      </c>
      <c r="BN22">
        <f t="shared" si="32"/>
        <v>-0.34012246637953408</v>
      </c>
      <c r="BQ22" s="66">
        <f t="shared" si="49"/>
        <v>53.344640904303724</v>
      </c>
      <c r="BR22" s="69"/>
      <c r="BS22" s="69"/>
      <c r="BT22" s="69">
        <v>131.82599999999999</v>
      </c>
      <c r="BU22" s="69">
        <v>32.155799999999999</v>
      </c>
      <c r="BV22" s="69">
        <v>-263.3605</v>
      </c>
      <c r="BW22" s="75"/>
      <c r="BY22" s="69"/>
      <c r="BZ22" s="69"/>
      <c r="CA22" s="69"/>
      <c r="CC22" s="69"/>
    </row>
    <row r="23" spans="1:81" x14ac:dyDescent="0.2">
      <c r="A23">
        <f t="shared" si="51"/>
        <v>60</v>
      </c>
      <c r="B23">
        <f t="shared" si="33"/>
        <v>0.06</v>
      </c>
      <c r="C23">
        <f t="shared" si="0"/>
        <v>1.0000069646792076</v>
      </c>
      <c r="D23">
        <f t="shared" si="1"/>
        <v>3.7321947391779579E-3</v>
      </c>
      <c r="F23">
        <f t="shared" si="2"/>
        <v>0.9922336282204427</v>
      </c>
      <c r="G23">
        <f t="shared" si="3"/>
        <v>-1.085790512897972E-2</v>
      </c>
      <c r="H23">
        <f t="shared" si="4"/>
        <v>-1.085790512897972E-2</v>
      </c>
      <c r="J23">
        <f t="shared" si="5"/>
        <v>15</v>
      </c>
      <c r="M23">
        <f t="shared" si="6"/>
        <v>56.224985965830257</v>
      </c>
      <c r="N23">
        <f t="shared" si="7"/>
        <v>-1.5707963250000001</v>
      </c>
      <c r="O23">
        <f t="shared" si="8"/>
        <v>1.0001580321755199</v>
      </c>
      <c r="P23">
        <f t="shared" si="9"/>
        <v>1.7777028239780064E-2</v>
      </c>
      <c r="Q23">
        <f t="shared" si="10"/>
        <v>1.0003033364762526</v>
      </c>
      <c r="R23">
        <f t="shared" si="11"/>
        <v>2.4627619396941049E-2</v>
      </c>
      <c r="S23">
        <f t="shared" si="12"/>
        <v>0.99999749271618388</v>
      </c>
      <c r="T23">
        <f t="shared" si="13"/>
        <v>-2.2393234978312178E-3</v>
      </c>
      <c r="U23">
        <f t="shared" si="14"/>
        <v>0.99999999997699374</v>
      </c>
      <c r="V23">
        <f t="shared" si="15"/>
        <v>-6.7832510967597551E-6</v>
      </c>
      <c r="X23">
        <f t="shared" si="34"/>
        <v>58.456736736673705</v>
      </c>
      <c r="Y23">
        <f t="shared" si="16"/>
        <v>-88.107358224931417</v>
      </c>
      <c r="Z23">
        <f t="shared" si="35"/>
        <v>91.892641775068583</v>
      </c>
      <c r="AC23">
        <v>1</v>
      </c>
      <c r="AD23">
        <f t="shared" si="17"/>
        <v>1.7778901124880002E-2</v>
      </c>
      <c r="AE23">
        <f t="shared" si="18"/>
        <v>-6.7024878118799704E-12</v>
      </c>
      <c r="AF23">
        <f t="shared" si="19"/>
        <v>9.8809372027800002E-7</v>
      </c>
      <c r="AG23">
        <f t="shared" si="36"/>
        <v>17986.267403830087</v>
      </c>
      <c r="AH23">
        <f t="shared" si="37"/>
        <v>-1012049.8693903127</v>
      </c>
      <c r="AJ23">
        <f t="shared" si="20"/>
        <v>18000</v>
      </c>
      <c r="AK23">
        <f t="shared" si="21"/>
        <v>40.30789033656</v>
      </c>
      <c r="AL23">
        <v>1</v>
      </c>
      <c r="AM23">
        <f t="shared" si="22"/>
        <v>2.4632599650119998E-2</v>
      </c>
      <c r="AN23">
        <f t="shared" si="38"/>
        <v>17990.077139590041</v>
      </c>
      <c r="AO23">
        <f t="shared" si="39"/>
        <v>-402.83447751773741</v>
      </c>
      <c r="AQ23">
        <f t="shared" si="23"/>
        <v>9858.0441640378558</v>
      </c>
      <c r="AR23">
        <f t="shared" si="24"/>
        <v>-1182.9652996845425</v>
      </c>
      <c r="AT23">
        <f t="shared" si="52"/>
        <v>-1019910458.6258619</v>
      </c>
      <c r="AU23">
        <f t="shared" si="53"/>
        <v>-9998109438.8680229</v>
      </c>
      <c r="AV23">
        <f t="shared" si="42"/>
        <v>-1.6724550078245517</v>
      </c>
      <c r="AW23">
        <f t="shared" si="25"/>
        <v>176842158.15755227</v>
      </c>
      <c r="AX23">
        <f t="shared" si="26"/>
        <v>-40178798.92082037</v>
      </c>
      <c r="AY23">
        <f t="shared" si="50"/>
        <v>-0.22340884607529796</v>
      </c>
      <c r="BA23">
        <f t="shared" si="27"/>
        <v>55.417960341090684</v>
      </c>
      <c r="BB23">
        <f t="shared" si="43"/>
        <v>34.873010750501216</v>
      </c>
      <c r="BC23">
        <f t="shared" si="44"/>
        <v>-1.4490461617492538</v>
      </c>
      <c r="BD23">
        <f t="shared" si="28"/>
        <v>-263.02422948273249</v>
      </c>
      <c r="BF23">
        <f t="shared" si="29"/>
        <v>58.327175262085717</v>
      </c>
      <c r="BG23">
        <f t="shared" si="30"/>
        <v>-83.432502614567156</v>
      </c>
      <c r="BH23">
        <f t="shared" si="45"/>
        <v>96.567497385432844</v>
      </c>
      <c r="BI23">
        <f t="shared" si="46"/>
        <v>96.567497385432844</v>
      </c>
      <c r="BJ23">
        <f t="shared" si="31"/>
        <v>0</v>
      </c>
      <c r="BK23">
        <f t="shared" si="47"/>
        <v>0</v>
      </c>
      <c r="BM23">
        <f t="shared" si="48"/>
        <v>23.454164511584498</v>
      </c>
      <c r="BN23">
        <f t="shared" si="32"/>
        <v>-0.40827313183468172</v>
      </c>
      <c r="BQ23" s="66">
        <f t="shared" si="49"/>
        <v>51.774971550786347</v>
      </c>
      <c r="BR23" s="68"/>
      <c r="BS23" s="68"/>
      <c r="BT23" s="68">
        <v>134.89599999999999</v>
      </c>
      <c r="BU23" s="68">
        <v>32.875300000000003</v>
      </c>
      <c r="BV23" s="68">
        <v>-269.46539999999999</v>
      </c>
      <c r="BW23" s="75"/>
      <c r="BY23" s="68"/>
      <c r="BZ23" s="68"/>
      <c r="CA23" s="68"/>
      <c r="CC23" s="68"/>
    </row>
    <row r="24" spans="1:81" x14ac:dyDescent="0.2">
      <c r="A24">
        <f t="shared" si="51"/>
        <v>70</v>
      </c>
      <c r="B24">
        <f t="shared" si="33"/>
        <v>7.0000000000000007E-2</v>
      </c>
      <c r="C24">
        <f t="shared" si="0"/>
        <v>1.000009479690334</v>
      </c>
      <c r="D24">
        <f t="shared" si="1"/>
        <v>4.3542198951378609E-3</v>
      </c>
      <c r="F24">
        <f t="shared" si="2"/>
        <v>0.99246392616929624</v>
      </c>
      <c r="G24">
        <f t="shared" si="3"/>
        <v>-1.2670586196768566E-2</v>
      </c>
      <c r="H24">
        <f t="shared" si="4"/>
        <v>-1.2670586196768566E-2</v>
      </c>
      <c r="J24">
        <f t="shared" si="5"/>
        <v>15</v>
      </c>
      <c r="M24">
        <f t="shared" si="6"/>
        <v>48.192845113568787</v>
      </c>
      <c r="N24">
        <f t="shared" si="7"/>
        <v>-1.5707963250000001</v>
      </c>
      <c r="O24">
        <f t="shared" si="8"/>
        <v>1.000215093213777</v>
      </c>
      <c r="P24">
        <f t="shared" si="9"/>
        <v>2.0739077443799856E-2</v>
      </c>
      <c r="Q24">
        <f t="shared" si="10"/>
        <v>1.0004128520447977</v>
      </c>
      <c r="R24">
        <f t="shared" si="11"/>
        <v>2.8730125506551962E-2</v>
      </c>
      <c r="S24">
        <f t="shared" si="12"/>
        <v>0.99999658731277385</v>
      </c>
      <c r="T24">
        <f t="shared" si="13"/>
        <v>-2.6125425038601045E-3</v>
      </c>
      <c r="U24">
        <f t="shared" si="14"/>
        <v>0.99999999996868594</v>
      </c>
      <c r="V24">
        <f t="shared" si="15"/>
        <v>-7.9137929461758838E-6</v>
      </c>
      <c r="X24">
        <f t="shared" si="34"/>
        <v>57.121277123374369</v>
      </c>
      <c r="Y24">
        <f t="shared" si="16"/>
        <v>-87.792257228719748</v>
      </c>
      <c r="Z24">
        <f t="shared" si="35"/>
        <v>92.207742771280252</v>
      </c>
      <c r="AC24">
        <v>1</v>
      </c>
      <c r="AD24">
        <f t="shared" si="17"/>
        <v>2.0742051312360003E-2</v>
      </c>
      <c r="AE24">
        <f t="shared" si="18"/>
        <v>-9.1228306328366265E-12</v>
      </c>
      <c r="AF24">
        <f t="shared" si="19"/>
        <v>1.152776006991E-6</v>
      </c>
      <c r="AG24">
        <f t="shared" si="36"/>
        <v>17986.267403531241</v>
      </c>
      <c r="AH24">
        <f t="shared" si="37"/>
        <v>-867471.3543838344</v>
      </c>
      <c r="AJ24">
        <f t="shared" si="20"/>
        <v>18000</v>
      </c>
      <c r="AK24">
        <f t="shared" si="21"/>
        <v>47.025872059319994</v>
      </c>
      <c r="AL24">
        <v>1</v>
      </c>
      <c r="AM24">
        <f t="shared" si="22"/>
        <v>2.8738032925139999E-2</v>
      </c>
      <c r="AN24">
        <f t="shared" si="38"/>
        <v>17986.496841319175</v>
      </c>
      <c r="AO24">
        <f t="shared" si="39"/>
        <v>-469.87066637443706</v>
      </c>
      <c r="AQ24">
        <f t="shared" si="23"/>
        <v>9807.7677520596299</v>
      </c>
      <c r="AR24">
        <f t="shared" si="24"/>
        <v>-1373.0874852883483</v>
      </c>
      <c r="AT24">
        <f t="shared" si="52"/>
        <v>-1014708927.1303017</v>
      </c>
      <c r="AU24">
        <f t="shared" si="53"/>
        <v>-8532654294.0401011</v>
      </c>
      <c r="AV24">
        <f t="shared" si="42"/>
        <v>-1.6891611046261141</v>
      </c>
      <c r="AW24">
        <f t="shared" si="25"/>
        <v>175733947.96587214</v>
      </c>
      <c r="AX24">
        <f t="shared" si="26"/>
        <v>-42098596.335316062</v>
      </c>
      <c r="AY24">
        <f t="shared" si="50"/>
        <v>-0.23512767460323616</v>
      </c>
      <c r="BA24">
        <f t="shared" si="27"/>
        <v>47.551106876477192</v>
      </c>
      <c r="BB24">
        <f t="shared" si="43"/>
        <v>33.543212614638477</v>
      </c>
      <c r="BC24">
        <f t="shared" si="44"/>
        <v>-1.4540334300228779</v>
      </c>
      <c r="BD24">
        <f t="shared" si="28"/>
        <v>-263.30997890643715</v>
      </c>
      <c r="BF24">
        <f t="shared" si="29"/>
        <v>56.999414736801135</v>
      </c>
      <c r="BG24">
        <f t="shared" si="30"/>
        <v>-83.786471596949895</v>
      </c>
      <c r="BH24">
        <f t="shared" si="45"/>
        <v>96.213528403050105</v>
      </c>
      <c r="BI24">
        <f t="shared" si="46"/>
        <v>96.213528403050105</v>
      </c>
      <c r="BJ24">
        <f t="shared" si="31"/>
        <v>0</v>
      </c>
      <c r="BK24">
        <f t="shared" si="47"/>
        <v>0</v>
      </c>
      <c r="BM24">
        <f t="shared" si="48"/>
        <v>23.456202122162662</v>
      </c>
      <c r="BN24">
        <f t="shared" si="32"/>
        <v>-0.47649269051273302</v>
      </c>
      <c r="BQ24" s="66">
        <f t="shared" si="49"/>
        <v>50.445173414923616</v>
      </c>
      <c r="BR24" s="68"/>
      <c r="BS24" s="68"/>
      <c r="BT24" s="68">
        <v>138.03800000000001</v>
      </c>
      <c r="BU24" s="68">
        <v>32.538699999999999</v>
      </c>
      <c r="BV24" s="68">
        <v>-267.95069999999998</v>
      </c>
      <c r="BW24" s="75"/>
      <c r="BY24" s="68"/>
      <c r="BZ24" s="68"/>
      <c r="CA24" s="68"/>
      <c r="CC24" s="68"/>
    </row>
    <row r="25" spans="1:81" x14ac:dyDescent="0.2">
      <c r="A25">
        <f t="shared" si="51"/>
        <v>80</v>
      </c>
      <c r="B25">
        <f t="shared" si="33"/>
        <v>0.08</v>
      </c>
      <c r="C25">
        <f t="shared" si="0"/>
        <v>1.0000123816183897</v>
      </c>
      <c r="D25">
        <f t="shared" si="1"/>
        <v>4.9762416816666096E-3</v>
      </c>
      <c r="F25">
        <f t="shared" si="2"/>
        <v>0.99272977467732726</v>
      </c>
      <c r="G25">
        <f t="shared" si="3"/>
        <v>-1.4484667759868014E-2</v>
      </c>
      <c r="H25">
        <f t="shared" si="4"/>
        <v>-1.4484667759868014E-2</v>
      </c>
      <c r="J25">
        <f t="shared" si="5"/>
        <v>15</v>
      </c>
      <c r="M25">
        <f t="shared" si="6"/>
        <v>42.168739474372693</v>
      </c>
      <c r="N25">
        <f t="shared" si="7"/>
        <v>-1.5707963250000001</v>
      </c>
      <c r="O25">
        <f t="shared" si="8"/>
        <v>1.0002809288285706</v>
      </c>
      <c r="P25">
        <f t="shared" si="9"/>
        <v>2.3700762723058828E-2</v>
      </c>
      <c r="Q25">
        <f t="shared" si="10"/>
        <v>1.0005392012670173</v>
      </c>
      <c r="R25">
        <f t="shared" si="11"/>
        <v>3.283166449546368E-2</v>
      </c>
      <c r="S25">
        <f t="shared" si="12"/>
        <v>0.99999554261958745</v>
      </c>
      <c r="T25">
        <f t="shared" si="13"/>
        <v>-2.9857607820740198E-3</v>
      </c>
      <c r="U25">
        <f t="shared" si="14"/>
        <v>0.99999999995910005</v>
      </c>
      <c r="V25">
        <f t="shared" si="15"/>
        <v>-9.0443347955717829E-6</v>
      </c>
      <c r="X25">
        <f t="shared" si="34"/>
        <v>55.965449300647578</v>
      </c>
      <c r="Y25">
        <f t="shared" si="16"/>
        <v>-87.477312889619455</v>
      </c>
      <c r="Z25">
        <f t="shared" si="35"/>
        <v>92.522687110380545</v>
      </c>
      <c r="AC25">
        <v>1</v>
      </c>
      <c r="AD25">
        <f t="shared" si="17"/>
        <v>2.3705201499840001E-2</v>
      </c>
      <c r="AE25">
        <f t="shared" si="18"/>
        <v>-1.1915533887786612E-11</v>
      </c>
      <c r="AF25">
        <f t="shared" si="19"/>
        <v>1.3174582937040001E-6</v>
      </c>
      <c r="AG25">
        <f t="shared" si="36"/>
        <v>17986.267403186408</v>
      </c>
      <c r="AH25">
        <f t="shared" si="37"/>
        <v>-759037.47321253247</v>
      </c>
      <c r="AJ25">
        <f t="shared" si="20"/>
        <v>18000</v>
      </c>
      <c r="AK25">
        <f t="shared" si="21"/>
        <v>53.743853782080002</v>
      </c>
      <c r="AL25">
        <v>1</v>
      </c>
      <c r="AM25">
        <f t="shared" si="22"/>
        <v>3.2843466200160001E-2</v>
      </c>
      <c r="AN25">
        <f t="shared" si="38"/>
        <v>17982.367675418318</v>
      </c>
      <c r="AO25">
        <f t="shared" si="39"/>
        <v>-536.85943116437124</v>
      </c>
      <c r="AQ25">
        <f t="shared" si="23"/>
        <v>9750.3900156006239</v>
      </c>
      <c r="AR25">
        <f t="shared" si="24"/>
        <v>-1560.0624024960998</v>
      </c>
      <c r="AT25">
        <f t="shared" si="52"/>
        <v>-1008772701.9385607</v>
      </c>
      <c r="AU25">
        <f t="shared" si="53"/>
        <v>-7428971099.815155</v>
      </c>
      <c r="AV25">
        <f t="shared" si="42"/>
        <v>-1.7057598705930346</v>
      </c>
      <c r="AW25">
        <f t="shared" si="25"/>
        <v>174469319.58548811</v>
      </c>
      <c r="AX25">
        <f t="shared" si="26"/>
        <v>-44481696.750842646</v>
      </c>
      <c r="AY25">
        <f t="shared" si="50"/>
        <v>-0.24963603581995167</v>
      </c>
      <c r="BA25">
        <f t="shared" si="27"/>
        <v>41.639153675534644</v>
      </c>
      <c r="BB25">
        <f t="shared" si="43"/>
        <v>32.390037876049277</v>
      </c>
      <c r="BC25">
        <f t="shared" si="44"/>
        <v>-1.4561238347730829</v>
      </c>
      <c r="BD25">
        <f t="shared" si="28"/>
        <v>-263.42975027623487</v>
      </c>
      <c r="BF25">
        <f t="shared" si="29"/>
        <v>55.848591556918635</v>
      </c>
      <c r="BG25">
        <f t="shared" si="30"/>
        <v>-83.974542960950444</v>
      </c>
      <c r="BH25">
        <f t="shared" si="45"/>
        <v>96.025457039049556</v>
      </c>
      <c r="BI25">
        <f t="shared" si="46"/>
        <v>96.025457039049556</v>
      </c>
      <c r="BJ25">
        <f t="shared" si="31"/>
        <v>0</v>
      </c>
      <c r="BK25">
        <f t="shared" si="47"/>
        <v>0</v>
      </c>
      <c r="BM25">
        <f t="shared" si="48"/>
        <v>23.458553680869365</v>
      </c>
      <c r="BN25">
        <f t="shared" si="32"/>
        <v>-0.54479268471558606</v>
      </c>
      <c r="BQ25" s="66">
        <f t="shared" si="49"/>
        <v>49.291998676334416</v>
      </c>
      <c r="BR25" s="68"/>
      <c r="BS25" s="68"/>
      <c r="BT25" s="68">
        <v>141.25399999999999</v>
      </c>
      <c r="BU25" s="68">
        <v>32.377000000000002</v>
      </c>
      <c r="BV25" s="68">
        <v>-263.11430000000001</v>
      </c>
      <c r="BW25" s="75"/>
      <c r="BY25" s="68"/>
      <c r="BZ25" s="68"/>
      <c r="CA25" s="68"/>
      <c r="CC25" s="68"/>
    </row>
    <row r="26" spans="1:81" x14ac:dyDescent="0.2">
      <c r="A26">
        <f t="shared" si="51"/>
        <v>90</v>
      </c>
      <c r="B26">
        <f t="shared" si="33"/>
        <v>0.09</v>
      </c>
      <c r="C26">
        <f t="shared" si="0"/>
        <v>1.0000156704600056</v>
      </c>
      <c r="D26">
        <f t="shared" si="1"/>
        <v>5.5982596174615918E-3</v>
      </c>
      <c r="F26">
        <f t="shared" si="2"/>
        <v>0.99303122531677845</v>
      </c>
      <c r="G26">
        <f t="shared" si="3"/>
        <v>-1.6300351273567722E-2</v>
      </c>
      <c r="H26">
        <f t="shared" si="4"/>
        <v>-1.6300351273567722E-2</v>
      </c>
      <c r="J26">
        <f t="shared" si="5"/>
        <v>15</v>
      </c>
      <c r="M26">
        <f t="shared" si="6"/>
        <v>37.483323977220167</v>
      </c>
      <c r="N26">
        <f t="shared" si="7"/>
        <v>-1.5707963250000001</v>
      </c>
      <c r="O26">
        <f t="shared" si="8"/>
        <v>1.0003555372874779</v>
      </c>
      <c r="P26">
        <f t="shared" si="9"/>
        <v>2.6662032197790245E-2</v>
      </c>
      <c r="Q26">
        <f t="shared" si="10"/>
        <v>1.0006823777665053</v>
      </c>
      <c r="R26">
        <f t="shared" si="11"/>
        <v>3.6932098761760949E-2</v>
      </c>
      <c r="S26">
        <f t="shared" si="12"/>
        <v>0.9999943586379344</v>
      </c>
      <c r="T26">
        <f t="shared" si="13"/>
        <v>-3.358978228502871E-3</v>
      </c>
      <c r="U26">
        <f t="shared" si="14"/>
        <v>0.99999999994823607</v>
      </c>
      <c r="V26">
        <f t="shared" si="15"/>
        <v>-1.0174876644944561E-5</v>
      </c>
      <c r="X26">
        <f t="shared" si="34"/>
        <v>54.94694496670347</v>
      </c>
      <c r="Y26">
        <f t="shared" si="16"/>
        <v>-87.162547628288621</v>
      </c>
      <c r="Z26">
        <f t="shared" si="35"/>
        <v>92.837452371711379</v>
      </c>
      <c r="AC26">
        <v>1</v>
      </c>
      <c r="AD26">
        <f t="shared" si="17"/>
        <v>2.6668351687320006E-2</v>
      </c>
      <c r="AE26">
        <f t="shared" si="18"/>
        <v>-1.508059757672993E-11</v>
      </c>
      <c r="AF26">
        <f t="shared" si="19"/>
        <v>1.482140580417E-6</v>
      </c>
      <c r="AG26">
        <f t="shared" si="36"/>
        <v>17986.267402795602</v>
      </c>
      <c r="AH26">
        <f t="shared" si="37"/>
        <v>-674700.01459801523</v>
      </c>
      <c r="AJ26">
        <f t="shared" si="20"/>
        <v>18000</v>
      </c>
      <c r="AK26">
        <f t="shared" si="21"/>
        <v>60.461835504839989</v>
      </c>
      <c r="AL26">
        <v>1</v>
      </c>
      <c r="AM26">
        <f t="shared" si="22"/>
        <v>3.694889947518E-2</v>
      </c>
      <c r="AN26">
        <f t="shared" si="38"/>
        <v>17977.690474614872</v>
      </c>
      <c r="AO26">
        <f t="shared" si="39"/>
        <v>-603.79404263760591</v>
      </c>
      <c r="AQ26">
        <f t="shared" si="23"/>
        <v>9686.1681518791174</v>
      </c>
      <c r="AR26">
        <f t="shared" si="24"/>
        <v>-1743.510267338241</v>
      </c>
      <c r="AT26">
        <f t="shared" si="52"/>
        <v>-1002128392.3367603</v>
      </c>
      <c r="AU26">
        <f t="shared" si="53"/>
        <v>-6566617035.3595362</v>
      </c>
      <c r="AV26">
        <f t="shared" si="42"/>
        <v>-1.7222374077049487</v>
      </c>
      <c r="AW26">
        <f t="shared" si="25"/>
        <v>173053987.47908157</v>
      </c>
      <c r="AX26">
        <f t="shared" si="26"/>
        <v>-47141965.15847712</v>
      </c>
      <c r="AY26">
        <f t="shared" si="50"/>
        <v>-0.26595848441910475</v>
      </c>
      <c r="BA26">
        <f t="shared" si="27"/>
        <v>37.035237446563123</v>
      </c>
      <c r="BB26">
        <f t="shared" si="43"/>
        <v>31.372302668371972</v>
      </c>
      <c r="BC26">
        <f t="shared" si="44"/>
        <v>-1.456278923285844</v>
      </c>
      <c r="BD26">
        <f t="shared" si="28"/>
        <v>-263.43863619347718</v>
      </c>
      <c r="BF26">
        <f t="shared" si="29"/>
        <v>54.833522057495159</v>
      </c>
      <c r="BG26">
        <f t="shared" si="30"/>
        <v>-84.051820878034889</v>
      </c>
      <c r="BH26">
        <f t="shared" si="45"/>
        <v>95.948179121965111</v>
      </c>
      <c r="BI26">
        <f t="shared" si="46"/>
        <v>95.948179121965111</v>
      </c>
      <c r="BJ26">
        <f t="shared" si="31"/>
        <v>0</v>
      </c>
      <c r="BK26">
        <f t="shared" si="47"/>
        <v>0</v>
      </c>
      <c r="BM26">
        <f t="shared" si="48"/>
        <v>23.461219389123183</v>
      </c>
      <c r="BN26">
        <f t="shared" si="32"/>
        <v>-0.61318468455772046</v>
      </c>
      <c r="BQ26" s="66">
        <f t="shared" si="49"/>
        <v>48.274263468657111</v>
      </c>
      <c r="BR26" s="68"/>
      <c r="BS26" s="68"/>
      <c r="BT26" s="68">
        <v>144.54400000000001</v>
      </c>
      <c r="BU26" s="68">
        <v>31.499099999999999</v>
      </c>
      <c r="BV26" s="68">
        <v>-266.2885</v>
      </c>
      <c r="BW26" s="75"/>
      <c r="BY26" s="68"/>
      <c r="BZ26" s="68"/>
      <c r="CA26" s="68"/>
      <c r="CC26" s="68"/>
    </row>
    <row r="27" spans="1:81" x14ac:dyDescent="0.2">
      <c r="A27">
        <f t="shared" si="51"/>
        <v>100</v>
      </c>
      <c r="B27">
        <f t="shared" si="33"/>
        <v>0.1</v>
      </c>
      <c r="C27">
        <f t="shared" si="0"/>
        <v>1.0000193462113649</v>
      </c>
      <c r="D27">
        <f t="shared" si="1"/>
        <v>6.2202732212380792E-3</v>
      </c>
      <c r="F27">
        <f t="shared" si="2"/>
        <v>0.99336833660192547</v>
      </c>
      <c r="G27">
        <f t="shared" si="3"/>
        <v>-1.8117838748879435E-2</v>
      </c>
      <c r="H27">
        <f t="shared" si="4"/>
        <v>-1.8117838748879435E-2</v>
      </c>
      <c r="J27">
        <f t="shared" si="5"/>
        <v>15</v>
      </c>
      <c r="M27">
        <f t="shared" si="6"/>
        <v>33.73499157949815</v>
      </c>
      <c r="N27">
        <f t="shared" si="7"/>
        <v>-1.5707963250000001</v>
      </c>
      <c r="O27">
        <f t="shared" si="8"/>
        <v>1.0004389166277752</v>
      </c>
      <c r="P27">
        <f t="shared" si="9"/>
        <v>2.962283403196251E-2</v>
      </c>
      <c r="Q27">
        <f t="shared" si="10"/>
        <v>1.0008423743215333</v>
      </c>
      <c r="R27">
        <f t="shared" si="11"/>
        <v>4.1031290926227461E-2</v>
      </c>
      <c r="S27">
        <f t="shared" si="12"/>
        <v>0.99999303536929884</v>
      </c>
      <c r="T27">
        <f t="shared" si="13"/>
        <v>-3.7321947391779574E-3</v>
      </c>
      <c r="U27">
        <f t="shared" si="14"/>
        <v>0.99999999993609379</v>
      </c>
      <c r="V27">
        <f t="shared" si="15"/>
        <v>-1.1305418494291331E-5</v>
      </c>
      <c r="X27">
        <f t="shared" si="34"/>
        <v>54.036876337663344</v>
      </c>
      <c r="Y27">
        <f t="shared" si="16"/>
        <v>-86.847983881959451</v>
      </c>
      <c r="Z27">
        <f t="shared" si="35"/>
        <v>93.152016118040549</v>
      </c>
      <c r="AC27">
        <v>1</v>
      </c>
      <c r="AD27">
        <f t="shared" si="17"/>
        <v>2.9631501874800004E-2</v>
      </c>
      <c r="AE27">
        <f t="shared" si="18"/>
        <v>-1.861802169966658E-11</v>
      </c>
      <c r="AF27">
        <f t="shared" si="19"/>
        <v>1.6468228671300002E-6</v>
      </c>
      <c r="AG27">
        <f t="shared" si="36"/>
        <v>17986.267402358815</v>
      </c>
      <c r="AH27">
        <f t="shared" si="37"/>
        <v>-607230.05177324684</v>
      </c>
      <c r="AJ27">
        <f t="shared" si="20"/>
        <v>18000</v>
      </c>
      <c r="AK27">
        <f t="shared" si="21"/>
        <v>67.179817227599997</v>
      </c>
      <c r="AL27">
        <v>1</v>
      </c>
      <c r="AM27">
        <f t="shared" si="22"/>
        <v>4.1054332750200005E-2</v>
      </c>
      <c r="AN27">
        <f t="shared" si="38"/>
        <v>17972.466181395783</v>
      </c>
      <c r="AO27">
        <f t="shared" si="39"/>
        <v>-670.66778972513885</v>
      </c>
      <c r="AQ27">
        <f t="shared" si="23"/>
        <v>9615.3846153846152</v>
      </c>
      <c r="AR27">
        <f t="shared" si="24"/>
        <v>-1923.0769230769231</v>
      </c>
      <c r="AT27">
        <f t="shared" si="52"/>
        <v>-994805220.6951015</v>
      </c>
      <c r="AU27">
        <f t="shared" si="53"/>
        <v>-5873339473.5934477</v>
      </c>
      <c r="AV27">
        <f t="shared" si="42"/>
        <v>-1.7385803580313091</v>
      </c>
      <c r="AW27">
        <f t="shared" si="25"/>
        <v>171494227.20837498</v>
      </c>
      <c r="AX27">
        <f t="shared" si="26"/>
        <v>-49964920.554773733</v>
      </c>
      <c r="AY27">
        <f t="shared" si="50"/>
        <v>-0.28350266069657548</v>
      </c>
      <c r="BA27">
        <f t="shared" si="27"/>
        <v>33.349217166609691</v>
      </c>
      <c r="BB27">
        <f t="shared" si="43"/>
        <v>30.461712876468479</v>
      </c>
      <c r="BC27">
        <f t="shared" si="44"/>
        <v>-1.4550776973347337</v>
      </c>
      <c r="BD27">
        <f t="shared" si="28"/>
        <v>-263.36981101615834</v>
      </c>
      <c r="BF27">
        <f t="shared" si="29"/>
        <v>53.925912351780866</v>
      </c>
      <c r="BG27">
        <f t="shared" si="30"/>
        <v>-84.051491308151455</v>
      </c>
      <c r="BH27">
        <f t="shared" si="45"/>
        <v>95.948508691848545</v>
      </c>
      <c r="BI27">
        <f t="shared" si="46"/>
        <v>95.948508691848545</v>
      </c>
      <c r="BJ27">
        <f t="shared" si="31"/>
        <v>0</v>
      </c>
      <c r="BK27">
        <f t="shared" si="47"/>
        <v>0</v>
      </c>
      <c r="BM27">
        <f t="shared" si="48"/>
        <v>23.464199475312384</v>
      </c>
      <c r="BN27">
        <f t="shared" si="32"/>
        <v>-0.6816802919931213</v>
      </c>
      <c r="BQ27" s="66">
        <f t="shared" si="49"/>
        <v>47.363673676753621</v>
      </c>
      <c r="BR27" s="68"/>
      <c r="BS27" s="68"/>
      <c r="BT27" s="68">
        <v>147.911</v>
      </c>
      <c r="BU27" s="68">
        <v>31.4819</v>
      </c>
      <c r="BV27" s="68">
        <v>-266.34629999999999</v>
      </c>
      <c r="BW27" s="75"/>
      <c r="BY27" s="68"/>
      <c r="BZ27" s="68"/>
      <c r="CA27" s="68"/>
      <c r="CC27" s="68"/>
    </row>
    <row r="28" spans="1:81" x14ac:dyDescent="0.2">
      <c r="A28">
        <f t="shared" si="51"/>
        <v>200</v>
      </c>
      <c r="B28">
        <f t="shared" si="33"/>
        <v>0.2</v>
      </c>
      <c r="C28">
        <f t="shared" si="0"/>
        <v>1.0000773825999778</v>
      </c>
      <c r="D28">
        <f t="shared" si="1"/>
        <v>1.2440065132599378E-2</v>
      </c>
      <c r="F28">
        <f t="shared" si="2"/>
        <v>0.99871868013925891</v>
      </c>
      <c r="G28">
        <f t="shared" si="3"/>
        <v>-3.6436914066649999E-2</v>
      </c>
      <c r="H28">
        <f t="shared" si="4"/>
        <v>-3.6436914066649999E-2</v>
      </c>
      <c r="J28">
        <f t="shared" si="5"/>
        <v>15</v>
      </c>
      <c r="M28">
        <f t="shared" si="6"/>
        <v>16.867495789749075</v>
      </c>
      <c r="N28">
        <f t="shared" si="7"/>
        <v>-1.5707963250000001</v>
      </c>
      <c r="O28">
        <f t="shared" si="8"/>
        <v>1.0017545126493941</v>
      </c>
      <c r="P28">
        <f t="shared" si="9"/>
        <v>5.9193770314274446E-2</v>
      </c>
      <c r="Q28">
        <f t="shared" si="10"/>
        <v>1.0033652540078597</v>
      </c>
      <c r="R28">
        <f t="shared" si="11"/>
        <v>8.1924887361627979E-2</v>
      </c>
      <c r="S28">
        <f t="shared" si="12"/>
        <v>0.99997214235027232</v>
      </c>
      <c r="T28">
        <f t="shared" si="13"/>
        <v>-7.4642855076994296E-3</v>
      </c>
      <c r="U28">
        <f t="shared" si="14"/>
        <v>0.99999999974437515</v>
      </c>
      <c r="V28">
        <f t="shared" si="15"/>
        <v>-2.2610836985692714E-5</v>
      </c>
      <c r="X28">
        <f t="shared" si="34"/>
        <v>48.096538288418799</v>
      </c>
      <c r="Y28">
        <f t="shared" si="16"/>
        <v>-83.718382225178033</v>
      </c>
      <c r="Z28">
        <f t="shared" si="35"/>
        <v>96.281617774821967</v>
      </c>
      <c r="AC28">
        <v>1</v>
      </c>
      <c r="AD28">
        <f t="shared" si="17"/>
        <v>5.9263003749600009E-2</v>
      </c>
      <c r="AE28">
        <f t="shared" si="18"/>
        <v>-7.4472086798666318E-11</v>
      </c>
      <c r="AF28">
        <f t="shared" si="19"/>
        <v>3.2936457342600004E-6</v>
      </c>
      <c r="AG28">
        <f t="shared" si="36"/>
        <v>17986.267395462208</v>
      </c>
      <c r="AH28">
        <f t="shared" si="37"/>
        <v>-303615.33090004348</v>
      </c>
      <c r="AJ28">
        <f t="shared" si="20"/>
        <v>18000</v>
      </c>
      <c r="AK28">
        <f t="shared" si="21"/>
        <v>134.35963445519999</v>
      </c>
      <c r="AL28">
        <v>1</v>
      </c>
      <c r="AM28">
        <f t="shared" si="22"/>
        <v>8.210866550040001E-2</v>
      </c>
      <c r="AN28">
        <f t="shared" si="38"/>
        <v>17890.417881514782</v>
      </c>
      <c r="AO28">
        <f t="shared" si="39"/>
        <v>-1334.5987030404719</v>
      </c>
      <c r="AQ28">
        <f t="shared" si="23"/>
        <v>8620.689655172413</v>
      </c>
      <c r="AR28">
        <f t="shared" si="24"/>
        <v>-3448.2758620689651</v>
      </c>
      <c r="AT28">
        <f t="shared" si="52"/>
        <v>-891895387.62547565</v>
      </c>
      <c r="AU28">
        <f t="shared" si="53"/>
        <v>-2679395153.9502444</v>
      </c>
      <c r="AV28">
        <f t="shared" si="42"/>
        <v>-1.8921315444299727</v>
      </c>
      <c r="AW28">
        <f t="shared" si="25"/>
        <v>149597826.80984375</v>
      </c>
      <c r="AX28">
        <f t="shared" si="26"/>
        <v>-77668839.634748459</v>
      </c>
      <c r="AY28">
        <f t="shared" si="50"/>
        <v>-0.47887697870913942</v>
      </c>
      <c r="BA28">
        <f t="shared" si="27"/>
        <v>16.753472725261371</v>
      </c>
      <c r="BB28">
        <f t="shared" si="43"/>
        <v>24.482096859213812</v>
      </c>
      <c r="BC28">
        <f t="shared" si="44"/>
        <v>-1.4132545657208333</v>
      </c>
      <c r="BD28">
        <f t="shared" si="28"/>
        <v>-260.97352208592349</v>
      </c>
      <c r="BF28">
        <f t="shared" si="29"/>
        <v>47.993457611885766</v>
      </c>
      <c r="BG28">
        <f t="shared" si="30"/>
        <v>-82.348440253028684</v>
      </c>
      <c r="BH28">
        <f t="shared" si="45"/>
        <v>97.651559746971316</v>
      </c>
      <c r="BI28">
        <f t="shared" si="46"/>
        <v>97.651559746971316</v>
      </c>
      <c r="BJ28">
        <f t="shared" si="31"/>
        <v>0</v>
      </c>
      <c r="BK28">
        <f t="shared" si="47"/>
        <v>0</v>
      </c>
      <c r="BM28">
        <f t="shared" si="48"/>
        <v>23.511360752671955</v>
      </c>
      <c r="BN28">
        <f t="shared" si="32"/>
        <v>-1.374918167105182</v>
      </c>
      <c r="BQ28" s="66">
        <f t="shared" si="49"/>
        <v>41.38405765949895</v>
      </c>
      <c r="BR28" s="68"/>
      <c r="BS28" s="68"/>
      <c r="BT28" s="68">
        <v>151.35599999999999</v>
      </c>
      <c r="BU28" s="68">
        <v>31.0519</v>
      </c>
      <c r="BV28" s="68">
        <v>-267.0283</v>
      </c>
      <c r="BW28" s="75"/>
      <c r="BY28" s="68"/>
      <c r="BZ28" s="68"/>
      <c r="CA28" s="68"/>
      <c r="CC28" s="68"/>
    </row>
    <row r="29" spans="1:81" x14ac:dyDescent="0.2">
      <c r="A29">
        <f t="shared" si="51"/>
        <v>300</v>
      </c>
      <c r="B29">
        <f t="shared" si="33"/>
        <v>0.3</v>
      </c>
      <c r="C29">
        <f t="shared" si="0"/>
        <v>1.0001741024306969</v>
      </c>
      <c r="D29">
        <f t="shared" si="1"/>
        <v>1.865889464762531E-2</v>
      </c>
      <c r="F29">
        <f t="shared" si="2"/>
        <v>1.0077523387494045</v>
      </c>
      <c r="G29">
        <f t="shared" si="3"/>
        <v>-5.5165516080937053E-2</v>
      </c>
      <c r="H29">
        <f t="shared" si="4"/>
        <v>-5.5165516080937053E-2</v>
      </c>
      <c r="J29">
        <f t="shared" si="5"/>
        <v>15</v>
      </c>
      <c r="M29">
        <f t="shared" si="6"/>
        <v>11.244997193166052</v>
      </c>
      <c r="N29">
        <f t="shared" si="7"/>
        <v>-1.5707963250000001</v>
      </c>
      <c r="O29">
        <f t="shared" si="8"/>
        <v>1.0039433415936412</v>
      </c>
      <c r="P29">
        <f t="shared" si="9"/>
        <v>8.8661454568944489E-2</v>
      </c>
      <c r="Q29">
        <f t="shared" si="10"/>
        <v>1.0075560153847911</v>
      </c>
      <c r="R29">
        <f t="shared" si="11"/>
        <v>0.12254584730141591</v>
      </c>
      <c r="S29">
        <f t="shared" si="12"/>
        <v>0.99993732356184739</v>
      </c>
      <c r="T29">
        <f t="shared" si="13"/>
        <v>-1.119616835228523E-2</v>
      </c>
      <c r="U29">
        <f t="shared" si="14"/>
        <v>0.99999999942484386</v>
      </c>
      <c r="V29">
        <f t="shared" si="15"/>
        <v>-3.3916255471314207E-5</v>
      </c>
      <c r="X29">
        <f t="shared" si="34"/>
        <v>44.708624261782823</v>
      </c>
      <c r="Y29">
        <f t="shared" si="16"/>
        <v>-80.633824773790266</v>
      </c>
      <c r="Z29">
        <f t="shared" si="35"/>
        <v>99.366175226209734</v>
      </c>
      <c r="AC29">
        <v>1</v>
      </c>
      <c r="AD29">
        <f t="shared" si="17"/>
        <v>8.8894505624400016E-2</v>
      </c>
      <c r="AE29">
        <f t="shared" si="18"/>
        <v>-1.6756219529699922E-10</v>
      </c>
      <c r="AF29">
        <f t="shared" si="19"/>
        <v>4.9404686013900005E-6</v>
      </c>
      <c r="AG29">
        <f t="shared" si="36"/>
        <v>17986.267383967857</v>
      </c>
      <c r="AH29">
        <f t="shared" si="37"/>
        <v>-202410.55950382873</v>
      </c>
      <c r="AJ29">
        <f t="shared" si="20"/>
        <v>18000</v>
      </c>
      <c r="AK29">
        <f t="shared" si="21"/>
        <v>201.53945168279998</v>
      </c>
      <c r="AL29">
        <v>1</v>
      </c>
      <c r="AM29">
        <f t="shared" si="22"/>
        <v>0.12316299825059999</v>
      </c>
      <c r="AN29">
        <f t="shared" si="38"/>
        <v>17755.487016450479</v>
      </c>
      <c r="AO29">
        <f t="shared" si="39"/>
        <v>-1985.279564662841</v>
      </c>
      <c r="AQ29">
        <f t="shared" si="23"/>
        <v>7352.9411764705892</v>
      </c>
      <c r="AR29">
        <f t="shared" si="24"/>
        <v>-4411.7647058823532</v>
      </c>
      <c r="AT29">
        <f t="shared" si="52"/>
        <v>-760735796.45830429</v>
      </c>
      <c r="AU29">
        <f t="shared" si="53"/>
        <v>-1567664117.163305</v>
      </c>
      <c r="AV29">
        <f t="shared" si="42"/>
        <v>-2.0225882887520075</v>
      </c>
      <c r="AW29">
        <f t="shared" si="25"/>
        <v>121769196.42605843</v>
      </c>
      <c r="AX29">
        <f t="shared" si="26"/>
        <v>-95907686.216658711</v>
      </c>
      <c r="AY29">
        <f t="shared" si="50"/>
        <v>-0.66714559066077361</v>
      </c>
      <c r="BA29">
        <f t="shared" si="27"/>
        <v>11.241665933666528</v>
      </c>
      <c r="BB29">
        <f t="shared" si="43"/>
        <v>21.016613506131975</v>
      </c>
      <c r="BC29">
        <f t="shared" si="44"/>
        <v>-1.3554426980912337</v>
      </c>
      <c r="BD29">
        <f t="shared" si="28"/>
        <v>-257.66114606119356</v>
      </c>
      <c r="BF29">
        <f t="shared" si="29"/>
        <v>44.607027084491691</v>
      </c>
      <c r="BG29">
        <f t="shared" si="30"/>
        <v>-79.752821395994218</v>
      </c>
      <c r="BH29">
        <f t="shared" si="45"/>
        <v>100.24717860400578</v>
      </c>
      <c r="BI29">
        <f t="shared" si="46"/>
        <v>100.24717860400578</v>
      </c>
      <c r="BJ29">
        <f t="shared" si="31"/>
        <v>0</v>
      </c>
      <c r="BK29">
        <f t="shared" si="47"/>
        <v>0</v>
      </c>
      <c r="BM29">
        <f t="shared" si="48"/>
        <v>23.590413578359716</v>
      </c>
      <c r="BN29">
        <f t="shared" si="32"/>
        <v>-2.0916753348006827</v>
      </c>
      <c r="BQ29" s="66">
        <f t="shared" si="49"/>
        <v>37.918574306417113</v>
      </c>
      <c r="BR29" s="68"/>
      <c r="BS29" s="68"/>
      <c r="BT29" s="68">
        <v>154.88200000000001</v>
      </c>
      <c r="BU29" s="68">
        <v>31.248699999999999</v>
      </c>
      <c r="BV29" s="68">
        <v>-260.69729999999998</v>
      </c>
      <c r="BW29" s="75"/>
      <c r="BY29" s="68"/>
      <c r="BZ29" s="68"/>
      <c r="CA29" s="68"/>
      <c r="CC29" s="68"/>
    </row>
    <row r="30" spans="1:81" x14ac:dyDescent="0.2">
      <c r="A30">
        <f t="shared" si="51"/>
        <v>400</v>
      </c>
      <c r="B30">
        <f t="shared" si="33"/>
        <v>0.4</v>
      </c>
      <c r="C30">
        <f t="shared" si="0"/>
        <v>1.0003094944826274</v>
      </c>
      <c r="D30">
        <f t="shared" si="1"/>
        <v>2.4876281126434467E-2</v>
      </c>
      <c r="F30">
        <f t="shared" si="2"/>
        <v>1.0206491641990703</v>
      </c>
      <c r="G30">
        <f t="shared" si="3"/>
        <v>-7.4526528800838751E-2</v>
      </c>
      <c r="H30">
        <f t="shared" si="4"/>
        <v>-7.4526528800838751E-2</v>
      </c>
      <c r="J30">
        <f t="shared" si="5"/>
        <v>15</v>
      </c>
      <c r="M30">
        <f t="shared" si="6"/>
        <v>8.4337478948745375</v>
      </c>
      <c r="N30">
        <f t="shared" si="7"/>
        <v>-1.5707963250000001</v>
      </c>
      <c r="O30">
        <f t="shared" si="8"/>
        <v>1.006999709261974</v>
      </c>
      <c r="P30">
        <f t="shared" si="9"/>
        <v>0.1179756053114195</v>
      </c>
      <c r="Q30">
        <f t="shared" si="10"/>
        <v>1.0133939667281557</v>
      </c>
      <c r="R30">
        <f t="shared" si="11"/>
        <v>0.16276459759348985</v>
      </c>
      <c r="S30">
        <f t="shared" si="12"/>
        <v>0.99988858336788933</v>
      </c>
      <c r="T30">
        <f t="shared" si="13"/>
        <v>-1.4927739354403516E-2</v>
      </c>
      <c r="U30">
        <f t="shared" si="14"/>
        <v>0.99999999897750014</v>
      </c>
      <c r="V30">
        <f t="shared" si="15"/>
        <v>-4.5221673948265853E-5</v>
      </c>
      <c r="X30">
        <f t="shared" si="34"/>
        <v>42.397640356102137</v>
      </c>
      <c r="Y30">
        <f t="shared" si="16"/>
        <v>-77.61740833701414</v>
      </c>
      <c r="Z30">
        <f t="shared" si="35"/>
        <v>102.38259166298586</v>
      </c>
      <c r="AC30">
        <v>1</v>
      </c>
      <c r="AD30">
        <f t="shared" si="17"/>
        <v>0.11852600749920002</v>
      </c>
      <c r="AE30">
        <f t="shared" si="18"/>
        <v>-2.9788834719466527E-10</v>
      </c>
      <c r="AF30">
        <f t="shared" si="19"/>
        <v>6.5872914685200007E-6</v>
      </c>
      <c r="AG30">
        <f t="shared" si="36"/>
        <v>17986.267367875771</v>
      </c>
      <c r="AH30">
        <f t="shared" si="37"/>
        <v>-151808.2754768607</v>
      </c>
      <c r="AJ30">
        <f t="shared" si="20"/>
        <v>18000</v>
      </c>
      <c r="AK30">
        <f t="shared" si="21"/>
        <v>268.71926891039999</v>
      </c>
      <c r="AL30">
        <v>1</v>
      </c>
      <c r="AM30">
        <f t="shared" si="22"/>
        <v>0.16421733100080002</v>
      </c>
      <c r="AN30">
        <f t="shared" si="38"/>
        <v>17570.304139552689</v>
      </c>
      <c r="AO30">
        <f t="shared" si="39"/>
        <v>-2616.6291817592505</v>
      </c>
      <c r="AQ30">
        <f t="shared" si="23"/>
        <v>6097.5609756097556</v>
      </c>
      <c r="AR30">
        <f t="shared" si="24"/>
        <v>-4878.0487804878048</v>
      </c>
      <c r="AT30">
        <f t="shared" si="52"/>
        <v>-630855811.05861449</v>
      </c>
      <c r="AU30">
        <f t="shared" si="53"/>
        <v>-1013398105.9217153</v>
      </c>
      <c r="AV30">
        <f t="shared" si="42"/>
        <v>-2.127606885380978</v>
      </c>
      <c r="AW30">
        <f t="shared" si="25"/>
        <v>94345483.499186948</v>
      </c>
      <c r="AX30">
        <f t="shared" si="26"/>
        <v>-103891767.02966024</v>
      </c>
      <c r="AY30">
        <f t="shared" si="50"/>
        <v>-0.83351684201526344</v>
      </c>
      <c r="BA30">
        <f t="shared" si="27"/>
        <v>8.5060375263466987</v>
      </c>
      <c r="BB30">
        <f t="shared" si="43"/>
        <v>18.594545887450394</v>
      </c>
      <c r="BC30">
        <f t="shared" si="44"/>
        <v>-1.2940900433657145</v>
      </c>
      <c r="BD30">
        <f t="shared" si="28"/>
        <v>-254.14589787948114</v>
      </c>
      <c r="BF30">
        <f t="shared" si="29"/>
        <v>42.296588572868259</v>
      </c>
      <c r="BG30">
        <f t="shared" si="30"/>
        <v>-76.990647526254349</v>
      </c>
      <c r="BH30">
        <f t="shared" si="45"/>
        <v>103.00935247374565</v>
      </c>
      <c r="BI30">
        <f t="shared" si="46"/>
        <v>103.00935247374565</v>
      </c>
      <c r="BJ30">
        <f t="shared" si="31"/>
        <v>0</v>
      </c>
      <c r="BK30">
        <f t="shared" si="47"/>
        <v>0</v>
      </c>
      <c r="BM30">
        <f t="shared" si="48"/>
        <v>23.702042685417858</v>
      </c>
      <c r="BN30">
        <f t="shared" si="32"/>
        <v>-2.8447496467731965</v>
      </c>
      <c r="BQ30" s="66">
        <f t="shared" si="49"/>
        <v>35.496506687735533</v>
      </c>
      <c r="BR30" s="68"/>
      <c r="BS30" s="68"/>
      <c r="BT30" s="68">
        <v>158.489</v>
      </c>
      <c r="BU30" s="68">
        <v>31.003699999999998</v>
      </c>
      <c r="BV30" s="68">
        <v>-259.86900000000003</v>
      </c>
      <c r="BW30" s="75"/>
      <c r="BY30" s="68"/>
      <c r="BZ30" s="68"/>
      <c r="CA30" s="68"/>
      <c r="CC30" s="68"/>
    </row>
    <row r="31" spans="1:81" x14ac:dyDescent="0.2">
      <c r="A31">
        <f t="shared" si="51"/>
        <v>500</v>
      </c>
      <c r="B31">
        <f t="shared" si="33"/>
        <v>0.5</v>
      </c>
      <c r="C31">
        <f t="shared" si="0"/>
        <v>1.0004835430556267</v>
      </c>
      <c r="D31">
        <f t="shared" si="1"/>
        <v>3.1091744598363752E-2</v>
      </c>
      <c r="F31">
        <f t="shared" si="2"/>
        <v>1.0376717208239155</v>
      </c>
      <c r="G31">
        <f t="shared" si="3"/>
        <v>-9.4765996641782438E-2</v>
      </c>
      <c r="H31">
        <f t="shared" si="4"/>
        <v>-9.4765996641782438E-2</v>
      </c>
      <c r="J31">
        <f t="shared" si="5"/>
        <v>15</v>
      </c>
      <c r="M31">
        <f t="shared" si="6"/>
        <v>6.7469983158996296</v>
      </c>
      <c r="N31">
        <f t="shared" si="7"/>
        <v>-1.5707963250000001</v>
      </c>
      <c r="O31">
        <f t="shared" si="8"/>
        <v>1.0109157470253922</v>
      </c>
      <c r="P31">
        <f t="shared" si="9"/>
        <v>0.14708751555536193</v>
      </c>
      <c r="Q31">
        <f t="shared" si="10"/>
        <v>1.020850849017183</v>
      </c>
      <c r="R31">
        <f t="shared" si="11"/>
        <v>0.20245929046175043</v>
      </c>
      <c r="S31">
        <f t="shared" si="12"/>
        <v>0.99982592787568303</v>
      </c>
      <c r="T31">
        <f t="shared" si="13"/>
        <v>-1.865889464762531E-2</v>
      </c>
      <c r="U31">
        <f t="shared" si="14"/>
        <v>0.99999999840234399</v>
      </c>
      <c r="V31">
        <f t="shared" si="15"/>
        <v>-5.6527092413657709E-5</v>
      </c>
      <c r="X31">
        <f t="shared" si="34"/>
        <v>40.701468829537333</v>
      </c>
      <c r="Y31">
        <f t="shared" si="16"/>
        <v>-74.693023838702359</v>
      </c>
      <c r="Z31">
        <f t="shared" si="35"/>
        <v>105.30697616129764</v>
      </c>
      <c r="AC31">
        <v>1</v>
      </c>
      <c r="AD31">
        <f t="shared" si="17"/>
        <v>0.14815750937400002</v>
      </c>
      <c r="AE31">
        <f t="shared" si="18"/>
        <v>-4.6545054249166452E-10</v>
      </c>
      <c r="AF31">
        <f t="shared" si="19"/>
        <v>8.23411433565E-6</v>
      </c>
      <c r="AG31">
        <f t="shared" si="36"/>
        <v>17986.267347185945</v>
      </c>
      <c r="AH31">
        <f t="shared" si="37"/>
        <v>-121446.98639759094</v>
      </c>
      <c r="AJ31">
        <f t="shared" si="20"/>
        <v>18000</v>
      </c>
      <c r="AK31">
        <f t="shared" si="21"/>
        <v>335.89908613799997</v>
      </c>
      <c r="AL31">
        <v>1</v>
      </c>
      <c r="AM31">
        <f t="shared" si="22"/>
        <v>0.20527166375100001</v>
      </c>
      <c r="AN31">
        <f t="shared" si="38"/>
        <v>17338.372975333121</v>
      </c>
      <c r="AO31">
        <f t="shared" si="39"/>
        <v>-3223.177581244006</v>
      </c>
      <c r="AQ31">
        <f t="shared" si="23"/>
        <v>5000</v>
      </c>
      <c r="AR31">
        <f t="shared" si="24"/>
        <v>-5000</v>
      </c>
      <c r="AT31">
        <f t="shared" si="52"/>
        <v>-517303595.25202501</v>
      </c>
      <c r="AU31">
        <f t="shared" si="53"/>
        <v>-697166268.72388446</v>
      </c>
      <c r="AV31">
        <f t="shared" si="42"/>
        <v>-2.2091635017293965</v>
      </c>
      <c r="AW31">
        <f t="shared" si="25"/>
        <v>70550501.713974014</v>
      </c>
      <c r="AX31">
        <f t="shared" si="26"/>
        <v>-104585223.42508176</v>
      </c>
      <c r="AY31">
        <f t="shared" si="50"/>
        <v>-0.97733918376343487</v>
      </c>
      <c r="BA31">
        <f t="shared" si="27"/>
        <v>6.8813510589949667</v>
      </c>
      <c r="BB31">
        <f t="shared" si="43"/>
        <v>16.753474287563645</v>
      </c>
      <c r="BC31">
        <f t="shared" si="44"/>
        <v>-1.2318243179659616</v>
      </c>
      <c r="BD31">
        <f t="shared" si="28"/>
        <v>-250.57833460167825</v>
      </c>
      <c r="BF31">
        <f t="shared" si="29"/>
        <v>40.600698080648378</v>
      </c>
      <c r="BG31">
        <f t="shared" si="30"/>
        <v>-74.226600511587137</v>
      </c>
      <c r="BH31">
        <f t="shared" si="45"/>
        <v>105.77339948841286</v>
      </c>
      <c r="BI31">
        <f t="shared" si="46"/>
        <v>105.77339948841286</v>
      </c>
      <c r="BJ31">
        <f t="shared" si="31"/>
        <v>0</v>
      </c>
      <c r="BK31">
        <f t="shared" si="47"/>
        <v>0</v>
      </c>
      <c r="BM31">
        <f t="shared" si="48"/>
        <v>23.84722379308473</v>
      </c>
      <c r="BN31">
        <f t="shared" si="32"/>
        <v>-3.6482659099089001</v>
      </c>
      <c r="BQ31" s="66">
        <f t="shared" si="49"/>
        <v>33.65543508784878</v>
      </c>
      <c r="BR31" s="68"/>
      <c r="BS31" s="68"/>
      <c r="BT31" s="68">
        <v>162.18100000000001</v>
      </c>
      <c r="BU31" s="68">
        <v>30.429300000000001</v>
      </c>
      <c r="BV31" s="68">
        <v>-262.39859999999999</v>
      </c>
      <c r="BW31" s="75"/>
      <c r="BY31" s="68"/>
      <c r="BZ31" s="68"/>
      <c r="CA31" s="68"/>
      <c r="CC31" s="68"/>
    </row>
    <row r="32" spans="1:81" x14ac:dyDescent="0.2">
      <c r="A32">
        <f t="shared" si="51"/>
        <v>600</v>
      </c>
      <c r="B32">
        <f t="shared" si="33"/>
        <v>0.6</v>
      </c>
      <c r="C32">
        <f t="shared" si="0"/>
        <v>1.0006962279794012</v>
      </c>
      <c r="D32">
        <f t="shared" si="1"/>
        <v>3.7304805983834136E-2</v>
      </c>
      <c r="F32">
        <f t="shared" si="2"/>
        <v>1.0591768265603876</v>
      </c>
      <c r="G32">
        <f t="shared" si="3"/>
        <v>-0.11616336940683314</v>
      </c>
      <c r="H32">
        <f t="shared" si="4"/>
        <v>-0.11616336940683314</v>
      </c>
      <c r="J32">
        <f t="shared" si="5"/>
        <v>15</v>
      </c>
      <c r="M32">
        <f t="shared" si="6"/>
        <v>5.6224985965830259</v>
      </c>
      <c r="N32">
        <f t="shared" si="7"/>
        <v>-1.5707963250000001</v>
      </c>
      <c r="O32">
        <f t="shared" si="8"/>
        <v>1.0156815113611284</v>
      </c>
      <c r="P32">
        <f t="shared" si="9"/>
        <v>0.17595051474634418</v>
      </c>
      <c r="Q32">
        <f t="shared" si="10"/>
        <v>1.0298914974657811</v>
      </c>
      <c r="R32">
        <f t="shared" si="11"/>
        <v>0.24151779946895197</v>
      </c>
      <c r="S32">
        <f t="shared" si="12"/>
        <v>0.99974936493380695</v>
      </c>
      <c r="T32">
        <f t="shared" si="13"/>
        <v>-2.2389530434958265E-2</v>
      </c>
      <c r="U32">
        <f t="shared" si="14"/>
        <v>0.9999999976993752</v>
      </c>
      <c r="V32">
        <f t="shared" si="15"/>
        <v>-6.7832510864599833E-5</v>
      </c>
      <c r="X32">
        <f t="shared" si="34"/>
        <v>39.414630071054461</v>
      </c>
      <c r="Y32">
        <f t="shared" si="16"/>
        <v>-71.885802472715412</v>
      </c>
      <c r="Z32">
        <f t="shared" si="35"/>
        <v>108.11419752728459</v>
      </c>
      <c r="AC32">
        <v>1</v>
      </c>
      <c r="AD32">
        <f t="shared" si="17"/>
        <v>0.17778901124880003</v>
      </c>
      <c r="AE32">
        <f t="shared" si="18"/>
        <v>-6.7024878118799688E-10</v>
      </c>
      <c r="AF32">
        <f t="shared" si="19"/>
        <v>9.8809372027800011E-6</v>
      </c>
      <c r="AG32">
        <f t="shared" si="36"/>
        <v>17986.26732189838</v>
      </c>
      <c r="AH32">
        <f t="shared" si="37"/>
        <v>-101206.19479216986</v>
      </c>
      <c r="AJ32">
        <f t="shared" si="20"/>
        <v>18000</v>
      </c>
      <c r="AK32">
        <f t="shared" si="21"/>
        <v>403.07890336559996</v>
      </c>
      <c r="AL32">
        <v>1</v>
      </c>
      <c r="AM32">
        <f t="shared" si="22"/>
        <v>0.24632599650119999</v>
      </c>
      <c r="AN32">
        <f t="shared" si="38"/>
        <v>17063.910505579439</v>
      </c>
      <c r="AO32">
        <f t="shared" si="39"/>
        <v>-3800.2058561285503</v>
      </c>
      <c r="AQ32">
        <f t="shared" si="23"/>
        <v>4098.3606557377052</v>
      </c>
      <c r="AR32">
        <f t="shared" si="24"/>
        <v>-4918.0327868852464</v>
      </c>
      <c r="AT32">
        <f t="shared" si="52"/>
        <v>-424021173.8881371</v>
      </c>
      <c r="AU32">
        <f t="shared" si="53"/>
        <v>-503236539.25593412</v>
      </c>
      <c r="AV32">
        <f t="shared" si="42"/>
        <v>-2.2709716951576104</v>
      </c>
      <c r="AW32">
        <f t="shared" si="25"/>
        <v>51220227.386488818</v>
      </c>
      <c r="AX32">
        <f t="shared" si="26"/>
        <v>-100971920.69975086</v>
      </c>
      <c r="AY32">
        <f t="shared" si="50"/>
        <v>-1.1013480620796117</v>
      </c>
      <c r="BA32">
        <f t="shared" si="27"/>
        <v>5.8121942749498032</v>
      </c>
      <c r="BB32">
        <f t="shared" si="43"/>
        <v>15.286802446754237</v>
      </c>
      <c r="BC32">
        <f t="shared" si="44"/>
        <v>-1.1696236330779988</v>
      </c>
      <c r="BD32">
        <f t="shared" si="28"/>
        <v>-247.01449787070254</v>
      </c>
      <c r="BF32">
        <f t="shared" si="29"/>
        <v>39.314042290857643</v>
      </c>
      <c r="BG32">
        <f t="shared" si="30"/>
        <v>-71.532760738467985</v>
      </c>
      <c r="BH32">
        <f t="shared" si="45"/>
        <v>108.46723926153201</v>
      </c>
      <c r="BI32">
        <f t="shared" si="46"/>
        <v>108.46723926153201</v>
      </c>
      <c r="BJ32">
        <f t="shared" si="31"/>
        <v>0</v>
      </c>
      <c r="BK32">
        <f t="shared" si="47"/>
        <v>0</v>
      </c>
      <c r="BM32">
        <f t="shared" si="48"/>
        <v>24.027239844103406</v>
      </c>
      <c r="BN32">
        <f t="shared" si="32"/>
        <v>-4.5182628677654373</v>
      </c>
      <c r="BQ32" s="66">
        <f t="shared" si="49"/>
        <v>32.188763247039375</v>
      </c>
      <c r="BR32" s="68"/>
      <c r="BS32" s="68"/>
      <c r="BT32" s="68">
        <v>165.959</v>
      </c>
      <c r="BU32" s="68">
        <v>29.9194</v>
      </c>
      <c r="BV32" s="68">
        <v>-264.8295</v>
      </c>
      <c r="BW32" s="75"/>
      <c r="BY32" s="68"/>
      <c r="BZ32" s="68"/>
      <c r="CA32" s="68"/>
      <c r="CC32" s="68"/>
    </row>
    <row r="33" spans="1:81" x14ac:dyDescent="0.2">
      <c r="A33">
        <f t="shared" si="51"/>
        <v>700</v>
      </c>
      <c r="B33">
        <f t="shared" si="33"/>
        <v>0.7</v>
      </c>
      <c r="C33">
        <f t="shared" si="0"/>
        <v>1.0009475246251798</v>
      </c>
      <c r="D33">
        <f t="shared" si="1"/>
        <v>4.3514987315185202E-2</v>
      </c>
      <c r="F33">
        <f t="shared" si="2"/>
        <v>1.0856314977468384</v>
      </c>
      <c r="G33">
        <f t="shared" si="3"/>
        <v>-0.13904426688350119</v>
      </c>
      <c r="H33">
        <f t="shared" si="4"/>
        <v>-0.13904426688350119</v>
      </c>
      <c r="J33">
        <f t="shared" si="5"/>
        <v>15</v>
      </c>
      <c r="M33">
        <f t="shared" si="6"/>
        <v>4.8192845113568792</v>
      </c>
      <c r="N33">
        <f t="shared" si="7"/>
        <v>-1.5707963250000001</v>
      </c>
      <c r="O33">
        <f t="shared" si="8"/>
        <v>1.0212851067476003</v>
      </c>
      <c r="P33">
        <f t="shared" si="9"/>
        <v>0.20452038061459182</v>
      </c>
      <c r="Q33">
        <f t="shared" si="10"/>
        <v>1.0404746290230449</v>
      </c>
      <c r="R33">
        <f t="shared" si="11"/>
        <v>0.27983928462110341</v>
      </c>
      <c r="S33">
        <f t="shared" si="12"/>
        <v>0.9996589041294045</v>
      </c>
      <c r="T33">
        <f t="shared" si="13"/>
        <v>-2.6119543006151453E-2</v>
      </c>
      <c r="U33">
        <f t="shared" si="14"/>
        <v>0.9999999968685942</v>
      </c>
      <c r="V33">
        <f t="shared" si="15"/>
        <v>-7.9137929298202272E-5</v>
      </c>
      <c r="X33">
        <f t="shared" si="34"/>
        <v>38.427958019997618</v>
      </c>
      <c r="Y33">
        <f t="shared" si="16"/>
        <v>-69.222733777484692</v>
      </c>
      <c r="Z33">
        <f t="shared" si="35"/>
        <v>110.77726622251531</v>
      </c>
      <c r="AC33">
        <v>1</v>
      </c>
      <c r="AD33">
        <f t="shared" si="17"/>
        <v>0.20742051312360002</v>
      </c>
      <c r="AE33">
        <f t="shared" si="18"/>
        <v>-9.1228306328366256E-10</v>
      </c>
      <c r="AF33">
        <f t="shared" si="19"/>
        <v>1.152776006991E-5</v>
      </c>
      <c r="AG33">
        <f t="shared" si="36"/>
        <v>17986.267292013072</v>
      </c>
      <c r="AH33">
        <f t="shared" si="37"/>
        <v>-86748.544600376103</v>
      </c>
      <c r="AJ33">
        <f t="shared" si="20"/>
        <v>18000</v>
      </c>
      <c r="AK33">
        <f t="shared" si="21"/>
        <v>470.2587205932</v>
      </c>
      <c r="AL33">
        <v>1</v>
      </c>
      <c r="AM33">
        <f t="shared" si="22"/>
        <v>0.2873803292514</v>
      </c>
      <c r="AN33">
        <f t="shared" si="38"/>
        <v>16751.665692199353</v>
      </c>
      <c r="AO33">
        <f t="shared" si="39"/>
        <v>-4343.8404815404319</v>
      </c>
      <c r="AQ33">
        <f t="shared" si="23"/>
        <v>3378.3783783783783</v>
      </c>
      <c r="AR33">
        <f t="shared" si="24"/>
        <v>-4729.72972972973</v>
      </c>
      <c r="AT33">
        <f t="shared" si="52"/>
        <v>-349532753.88011312</v>
      </c>
      <c r="AU33">
        <f t="shared" si="53"/>
        <v>-378139590.5716027</v>
      </c>
      <c r="AV33">
        <f t="shared" si="42"/>
        <v>-2.3169019249216785</v>
      </c>
      <c r="AW33">
        <f t="shared" si="25"/>
        <v>36025321.300000697</v>
      </c>
      <c r="AX33">
        <f t="shared" si="26"/>
        <v>-95166832.688268974</v>
      </c>
      <c r="AY33">
        <f t="shared" si="50"/>
        <v>-1.208917730814334</v>
      </c>
      <c r="BA33">
        <f t="shared" si="27"/>
        <v>5.0604670570637111</v>
      </c>
      <c r="BB33">
        <f t="shared" si="43"/>
        <v>14.083812040134392</v>
      </c>
      <c r="BC33">
        <f t="shared" si="44"/>
        <v>-1.1079841941073445</v>
      </c>
      <c r="BD33">
        <f t="shared" si="28"/>
        <v>-243.4828181620943</v>
      </c>
      <c r="BF33">
        <f t="shared" si="29"/>
        <v>38.327512121891729</v>
      </c>
      <c r="BG33">
        <f t="shared" si="30"/>
        <v>-68.956242707538436</v>
      </c>
      <c r="BH33">
        <f t="shared" si="45"/>
        <v>111.04375729246156</v>
      </c>
      <c r="BI33">
        <f t="shared" si="46"/>
        <v>111.04375729246156</v>
      </c>
      <c r="BJ33">
        <f t="shared" si="31"/>
        <v>0</v>
      </c>
      <c r="BK33">
        <f t="shared" si="47"/>
        <v>0</v>
      </c>
      <c r="BM33">
        <f t="shared" si="48"/>
        <v>24.243700081757339</v>
      </c>
      <c r="BN33">
        <f t="shared" si="32"/>
        <v>-5.4734245454441321</v>
      </c>
      <c r="BQ33" s="66">
        <f t="shared" si="49"/>
        <v>30.985772840419529</v>
      </c>
      <c r="BR33" s="68"/>
      <c r="BS33" s="68"/>
      <c r="BT33" s="68">
        <v>169.82400000000001</v>
      </c>
      <c r="BU33" s="68">
        <v>29.808900000000001</v>
      </c>
      <c r="BV33" s="68">
        <v>-267.72770000000003</v>
      </c>
      <c r="BW33" s="75"/>
      <c r="BY33" s="68"/>
      <c r="BZ33" s="68"/>
      <c r="CA33" s="68"/>
      <c r="CC33" s="68"/>
    </row>
    <row r="34" spans="1:81" x14ac:dyDescent="0.2">
      <c r="A34">
        <f t="shared" si="51"/>
        <v>800</v>
      </c>
      <c r="B34">
        <f t="shared" si="33"/>
        <v>0.8</v>
      </c>
      <c r="C34">
        <f t="shared" si="0"/>
        <v>1.0012374039199488</v>
      </c>
      <c r="D34">
        <f t="shared" si="1"/>
        <v>4.9721811956224798E-2</v>
      </c>
      <c r="F34">
        <f t="shared" si="2"/>
        <v>1.1176341004063928</v>
      </c>
      <c r="G34">
        <f t="shared" si="3"/>
        <v>-0.16379689553388313</v>
      </c>
      <c r="H34">
        <f t="shared" si="4"/>
        <v>-0.16379689553388313</v>
      </c>
      <c r="J34">
        <f t="shared" si="5"/>
        <v>15</v>
      </c>
      <c r="M34">
        <f t="shared" si="6"/>
        <v>4.2168739474372687</v>
      </c>
      <c r="N34">
        <f t="shared" si="7"/>
        <v>-1.5707963250000001</v>
      </c>
      <c r="O34">
        <f t="shared" si="8"/>
        <v>1.0277128284763217</v>
      </c>
      <c r="P34">
        <f t="shared" si="9"/>
        <v>0.23275569287738906</v>
      </c>
      <c r="Q34">
        <f t="shared" si="10"/>
        <v>1.052553717015956</v>
      </c>
      <c r="R34">
        <f t="shared" si="11"/>
        <v>0.31733529016886108</v>
      </c>
      <c r="S34">
        <f t="shared" si="12"/>
        <v>0.99955455678485028</v>
      </c>
      <c r="T34">
        <f t="shared" si="13"/>
        <v>-2.9848828754963953E-2</v>
      </c>
      <c r="U34">
        <f t="shared" si="14"/>
        <v>0.99999999591000055</v>
      </c>
      <c r="V34">
        <f t="shared" si="15"/>
        <v>-9.0443347711575083E-5</v>
      </c>
      <c r="X34">
        <f t="shared" si="34"/>
        <v>37.676822726576454</v>
      </c>
      <c r="Y34">
        <f t="shared" si="16"/>
        <v>-66.733523066440526</v>
      </c>
      <c r="Z34">
        <f t="shared" si="35"/>
        <v>113.26647693355947</v>
      </c>
      <c r="AC34">
        <v>1</v>
      </c>
      <c r="AD34">
        <f t="shared" si="17"/>
        <v>0.23705201499840003</v>
      </c>
      <c r="AE34">
        <f t="shared" si="18"/>
        <v>-1.1915533887786611E-9</v>
      </c>
      <c r="AF34">
        <f t="shared" si="19"/>
        <v>1.3174582937040001E-5</v>
      </c>
      <c r="AG34">
        <f t="shared" si="36"/>
        <v>17986.267257530031</v>
      </c>
      <c r="AH34">
        <f t="shared" si="37"/>
        <v>-75905.357792098876</v>
      </c>
      <c r="AJ34">
        <f t="shared" si="20"/>
        <v>18000</v>
      </c>
      <c r="AK34">
        <f t="shared" si="21"/>
        <v>537.43853782079998</v>
      </c>
      <c r="AL34">
        <v>1</v>
      </c>
      <c r="AM34">
        <f t="shared" si="22"/>
        <v>0.32843466200160004</v>
      </c>
      <c r="AN34">
        <f t="shared" si="38"/>
        <v>16406.730467380388</v>
      </c>
      <c r="AO34">
        <f t="shared" si="39"/>
        <v>-4851.1004377846311</v>
      </c>
      <c r="AQ34">
        <f t="shared" si="23"/>
        <v>2808.9887640449433</v>
      </c>
      <c r="AR34">
        <f t="shared" si="24"/>
        <v>-4494.3820224719093</v>
      </c>
      <c r="AT34">
        <f t="shared" si="52"/>
        <v>-290624452.83659595</v>
      </c>
      <c r="AU34">
        <f t="shared" si="53"/>
        <v>-294054453.38243508</v>
      </c>
      <c r="AV34">
        <f t="shared" si="42"/>
        <v>-2.3503280887165534</v>
      </c>
      <c r="AW34">
        <f t="shared" si="25"/>
        <v>24262153.755922928</v>
      </c>
      <c r="AX34">
        <f t="shared" si="26"/>
        <v>-88463524.99192737</v>
      </c>
      <c r="AY34">
        <f t="shared" si="50"/>
        <v>-1.3031166685016264</v>
      </c>
      <c r="BA34">
        <f t="shared" si="27"/>
        <v>4.5070990476523498</v>
      </c>
      <c r="BB34">
        <f t="shared" si="43"/>
        <v>13.077942043940967</v>
      </c>
      <c r="BC34">
        <f t="shared" si="44"/>
        <v>-1.047211420214927</v>
      </c>
      <c r="BD34">
        <f t="shared" si="28"/>
        <v>-240.00079470477715</v>
      </c>
      <c r="BF34">
        <f t="shared" si="29"/>
        <v>37.576501418102396</v>
      </c>
      <c r="BG34">
        <f t="shared" si="30"/>
        <v>-66.536815548847599</v>
      </c>
      <c r="BH34">
        <f t="shared" si="45"/>
        <v>113.4631844511524</v>
      </c>
      <c r="BI34">
        <f t="shared" si="46"/>
        <v>113.4631844511524</v>
      </c>
      <c r="BJ34">
        <f t="shared" si="31"/>
        <v>0</v>
      </c>
      <c r="BK34">
        <f t="shared" si="47"/>
        <v>0</v>
      </c>
      <c r="BM34">
        <f t="shared" si="48"/>
        <v>24.498559374161427</v>
      </c>
      <c r="BN34">
        <f t="shared" si="32"/>
        <v>-6.5360208440704426</v>
      </c>
      <c r="BQ34" s="66">
        <f t="shared" si="49"/>
        <v>29.979902844226103</v>
      </c>
      <c r="BR34" s="68"/>
      <c r="BS34" s="68"/>
      <c r="BT34" s="68">
        <v>173.78</v>
      </c>
      <c r="BU34" s="68">
        <v>30.070900000000002</v>
      </c>
      <c r="BV34" s="68">
        <v>-269.952</v>
      </c>
      <c r="BW34" s="75"/>
      <c r="BY34" s="68"/>
      <c r="BZ34" s="68"/>
      <c r="CA34" s="68"/>
      <c r="CC34" s="68"/>
    </row>
    <row r="35" spans="1:81" x14ac:dyDescent="0.2">
      <c r="A35">
        <f t="shared" si="51"/>
        <v>900</v>
      </c>
      <c r="B35">
        <f t="shared" si="33"/>
        <v>0.9</v>
      </c>
      <c r="C35">
        <f t="shared" si="0"/>
        <v>1.0015658323632322</v>
      </c>
      <c r="D35">
        <f t="shared" si="1"/>
        <v>5.5924804820243049E-2</v>
      </c>
      <c r="F35">
        <f t="shared" si="2"/>
        <v>1.1559415483992859</v>
      </c>
      <c r="G35">
        <f t="shared" si="3"/>
        <v>-0.19089368240584814</v>
      </c>
      <c r="H35">
        <f t="shared" si="4"/>
        <v>-0.19089368240584814</v>
      </c>
      <c r="J35">
        <f t="shared" si="5"/>
        <v>15</v>
      </c>
      <c r="M35">
        <f t="shared" si="6"/>
        <v>3.7483323977220171</v>
      </c>
      <c r="N35">
        <f t="shared" si="7"/>
        <v>-1.5707963250000001</v>
      </c>
      <c r="O35">
        <f t="shared" si="8"/>
        <v>1.03494932154761</v>
      </c>
      <c r="P35">
        <f t="shared" si="9"/>
        <v>0.26061812320196753</v>
      </c>
      <c r="Q35">
        <f t="shared" si="10"/>
        <v>1.0660779133077918</v>
      </c>
      <c r="R35">
        <f t="shared" si="11"/>
        <v>0.35393037192444199</v>
      </c>
      <c r="S35">
        <f t="shared" si="12"/>
        <v>0.99943633595381765</v>
      </c>
      <c r="T35">
        <f t="shared" si="13"/>
        <v>-3.3577284196390091E-2</v>
      </c>
      <c r="U35">
        <f t="shared" si="14"/>
        <v>0.99999999482359425</v>
      </c>
      <c r="V35">
        <f t="shared" si="15"/>
        <v>-1.0174876610182831E-4</v>
      </c>
      <c r="X35">
        <f t="shared" si="34"/>
        <v>37.120157855963782</v>
      </c>
      <c r="Y35">
        <f t="shared" si="16"/>
        <v>-64.451778392053399</v>
      </c>
      <c r="Z35">
        <f t="shared" si="35"/>
        <v>115.5482216079466</v>
      </c>
      <c r="AC35">
        <v>1</v>
      </c>
      <c r="AD35">
        <f t="shared" si="17"/>
        <v>0.26668351687320002</v>
      </c>
      <c r="AE35">
        <f t="shared" si="18"/>
        <v>-1.5080597576729933E-9</v>
      </c>
      <c r="AF35">
        <f t="shared" si="19"/>
        <v>1.4821405804170001E-5</v>
      </c>
      <c r="AG35">
        <f t="shared" si="36"/>
        <v>17986.267218449248</v>
      </c>
      <c r="AH35">
        <f t="shared" si="37"/>
        <v>-67471.813239498864</v>
      </c>
      <c r="AJ35">
        <f t="shared" si="20"/>
        <v>18000</v>
      </c>
      <c r="AK35">
        <f t="shared" si="21"/>
        <v>604.61835504839996</v>
      </c>
      <c r="AL35">
        <v>1</v>
      </c>
      <c r="AM35">
        <f t="shared" si="22"/>
        <v>0.36948899475180003</v>
      </c>
      <c r="AN35">
        <f t="shared" si="38"/>
        <v>16034.355646704806</v>
      </c>
      <c r="AO35">
        <f t="shared" si="39"/>
        <v>-5319.8995943454065</v>
      </c>
      <c r="AQ35">
        <f t="shared" si="23"/>
        <v>2358.4905660377358</v>
      </c>
      <c r="AR35">
        <f t="shared" si="24"/>
        <v>-4245.2830188679245</v>
      </c>
      <c r="AT35">
        <f t="shared" si="52"/>
        <v>-244016501.4449262</v>
      </c>
      <c r="AU35">
        <f t="shared" si="53"/>
        <v>-235488429.79412147</v>
      </c>
      <c r="AV35">
        <f t="shared" si="42"/>
        <v>-2.3739777747615904</v>
      </c>
      <c r="AW35">
        <f t="shared" si="25"/>
        <v>15212529.145655558</v>
      </c>
      <c r="AX35">
        <f t="shared" si="26"/>
        <v>-81589621.494239777</v>
      </c>
      <c r="AY35">
        <f t="shared" si="50"/>
        <v>-1.3864612008078327</v>
      </c>
      <c r="BA35">
        <f t="shared" si="27"/>
        <v>4.0859319246583423</v>
      </c>
      <c r="BB35">
        <f t="shared" si="43"/>
        <v>12.225822532313686</v>
      </c>
      <c r="BC35">
        <f t="shared" si="44"/>
        <v>-0.98751657395375769</v>
      </c>
      <c r="BD35">
        <f t="shared" si="28"/>
        <v>-236.58053195142165</v>
      </c>
      <c r="BF35">
        <f t="shared" si="29"/>
        <v>37.019955203604361</v>
      </c>
      <c r="BG35">
        <f t="shared" si="30"/>
        <v>-64.313679011531065</v>
      </c>
      <c r="BH35">
        <f t="shared" si="45"/>
        <v>115.68632098846894</v>
      </c>
      <c r="BI35">
        <f t="shared" si="46"/>
        <v>115.68632098846894</v>
      </c>
      <c r="BJ35">
        <f t="shared" si="31"/>
        <v>0</v>
      </c>
      <c r="BK35">
        <f t="shared" si="47"/>
        <v>0</v>
      </c>
      <c r="BM35">
        <f t="shared" si="48"/>
        <v>24.794132671290679</v>
      </c>
      <c r="BN35">
        <f t="shared" si="32"/>
        <v>-7.7331470601094372</v>
      </c>
      <c r="BQ35" s="66">
        <f t="shared" si="49"/>
        <v>29.127783332598824</v>
      </c>
      <c r="BR35" s="68"/>
      <c r="BS35" s="68"/>
      <c r="BT35" s="68">
        <v>177.828</v>
      </c>
      <c r="BU35" s="68">
        <v>29.720099999999999</v>
      </c>
      <c r="BV35" s="68">
        <v>-271.56010000000003</v>
      </c>
      <c r="BW35" s="75"/>
      <c r="BY35" s="68"/>
      <c r="BZ35" s="68"/>
      <c r="CA35" s="68"/>
      <c r="CC35" s="68"/>
    </row>
    <row r="36" spans="1:81" x14ac:dyDescent="0.2">
      <c r="A36">
        <f t="shared" si="51"/>
        <v>1000</v>
      </c>
      <c r="B36">
        <f t="shared" si="33"/>
        <v>1</v>
      </c>
      <c r="C36">
        <f t="shared" si="0"/>
        <v>1.0019327720463886</v>
      </c>
      <c r="D36">
        <f t="shared" si="1"/>
        <v>6.2123492586243015E-2</v>
      </c>
      <c r="F36">
        <f t="shared" si="2"/>
        <v>1.2015030999300371</v>
      </c>
      <c r="G36">
        <f t="shared" si="3"/>
        <v>-0.22092031730305392</v>
      </c>
      <c r="H36">
        <f t="shared" si="4"/>
        <v>-0.22092031730305392</v>
      </c>
      <c r="J36">
        <f t="shared" si="5"/>
        <v>15</v>
      </c>
      <c r="M36">
        <f t="shared" si="6"/>
        <v>3.3734991579498148</v>
      </c>
      <c r="N36">
        <f t="shared" si="7"/>
        <v>-1.5707963250000001</v>
      </c>
      <c r="O36">
        <f t="shared" si="8"/>
        <v>1.0429777516014556</v>
      </c>
      <c r="P36">
        <f t="shared" si="9"/>
        <v>0.28807265839701574</v>
      </c>
      <c r="Q36">
        <f t="shared" si="10"/>
        <v>1.0809929804380851</v>
      </c>
      <c r="R36">
        <f t="shared" si="11"/>
        <v>0.3895622801662304</v>
      </c>
      <c r="S36">
        <f t="shared" si="12"/>
        <v>0.99930425641674803</v>
      </c>
      <c r="T36">
        <f t="shared" si="13"/>
        <v>-3.7304805983834136E-2</v>
      </c>
      <c r="U36">
        <f t="shared" si="14"/>
        <v>0.99999999360937575</v>
      </c>
      <c r="V36">
        <f t="shared" si="15"/>
        <v>-1.1305418446607201E-4</v>
      </c>
      <c r="X36">
        <f t="shared" si="34"/>
        <v>36.730619909808844</v>
      </c>
      <c r="Y36">
        <f t="shared" si="16"/>
        <v>-62.416651260606834</v>
      </c>
      <c r="Z36">
        <f t="shared" si="35"/>
        <v>117.58334873939316</v>
      </c>
      <c r="AC36">
        <v>1</v>
      </c>
      <c r="AD36">
        <f t="shared" si="17"/>
        <v>0.29631501874800004</v>
      </c>
      <c r="AE36">
        <f t="shared" si="18"/>
        <v>-1.8618021699666581E-9</v>
      </c>
      <c r="AF36">
        <f t="shared" si="19"/>
        <v>1.64682286713E-5</v>
      </c>
      <c r="AG36">
        <f t="shared" si="36"/>
        <v>17986.267174770728</v>
      </c>
      <c r="AH36">
        <f t="shared" si="37"/>
        <v>-60725.018265872372</v>
      </c>
      <c r="AJ36">
        <f t="shared" si="20"/>
        <v>18000</v>
      </c>
      <c r="AK36">
        <f t="shared" si="21"/>
        <v>671.79817227599995</v>
      </c>
      <c r="AL36">
        <v>1</v>
      </c>
      <c r="AM36">
        <f t="shared" si="22"/>
        <v>0.41054332750200001</v>
      </c>
      <c r="AN36">
        <f t="shared" si="38"/>
        <v>15639.782270845355</v>
      </c>
      <c r="AO36">
        <f t="shared" si="39"/>
        <v>-5749.0100826036387</v>
      </c>
      <c r="AQ36">
        <f t="shared" si="23"/>
        <v>2000</v>
      </c>
      <c r="AR36">
        <f t="shared" si="24"/>
        <v>-4000</v>
      </c>
      <c r="AT36">
        <f t="shared" si="52"/>
        <v>-206927538.71394804</v>
      </c>
      <c r="AU36">
        <f t="shared" si="53"/>
        <v>-193395105.23082766</v>
      </c>
      <c r="AV36">
        <f t="shared" si="42"/>
        <v>-2.3899854403764373</v>
      </c>
      <c r="AW36">
        <f t="shared" si="25"/>
        <v>8265352.9108759835</v>
      </c>
      <c r="AX36">
        <f t="shared" si="26"/>
        <v>-74928097.04426235</v>
      </c>
      <c r="AY36">
        <f t="shared" si="50"/>
        <v>-1.4609300612576595</v>
      </c>
      <c r="BA36">
        <f t="shared" si="27"/>
        <v>3.7572670240208188</v>
      </c>
      <c r="BB36">
        <f t="shared" si="43"/>
        <v>11.497441217945184</v>
      </c>
      <c r="BC36">
        <f t="shared" si="44"/>
        <v>-0.92905537911877789</v>
      </c>
      <c r="BD36">
        <f t="shared" si="28"/>
        <v>-233.23095221825784</v>
      </c>
      <c r="BF36">
        <f t="shared" si="29"/>
        <v>36.630535953883573</v>
      </c>
      <c r="BG36">
        <f t="shared" si="30"/>
        <v>-62.32934008500623</v>
      </c>
      <c r="BH36">
        <f t="shared" si="45"/>
        <v>117.67065991499376</v>
      </c>
      <c r="BI36">
        <f t="shared" si="46"/>
        <v>117.67065991499376</v>
      </c>
      <c r="BJ36">
        <f t="shared" si="31"/>
        <v>0</v>
      </c>
      <c r="BK36">
        <f t="shared" si="47"/>
        <v>0</v>
      </c>
      <c r="BM36">
        <f t="shared" si="48"/>
        <v>25.133094735938393</v>
      </c>
      <c r="BN36">
        <f t="shared" si="32"/>
        <v>-9.0983878667484017</v>
      </c>
      <c r="BQ36" s="66">
        <f t="shared" si="49"/>
        <v>28.399402018230319</v>
      </c>
      <c r="BR36" s="68"/>
      <c r="BS36" s="68"/>
      <c r="BT36" s="68">
        <v>181.97</v>
      </c>
      <c r="BU36" s="68">
        <v>30.042100000000001</v>
      </c>
      <c r="BV36" s="68">
        <v>-268.84590000000003</v>
      </c>
      <c r="BW36" s="75"/>
      <c r="BY36" s="68"/>
      <c r="BZ36" s="68"/>
      <c r="CA36" s="68"/>
      <c r="CC36" s="68"/>
    </row>
    <row r="37" spans="1:81" x14ac:dyDescent="0.2">
      <c r="A37">
        <f>A36+500</f>
        <v>1500</v>
      </c>
      <c r="B37">
        <f t="shared" si="33"/>
        <v>1.5</v>
      </c>
      <c r="C37">
        <f t="shared" si="0"/>
        <v>1.0043435066381727</v>
      </c>
      <c r="D37">
        <f t="shared" si="1"/>
        <v>9.3035939101875978E-2</v>
      </c>
      <c r="F37">
        <f t="shared" si="2"/>
        <v>1.5894742458794879</v>
      </c>
      <c r="G37">
        <f t="shared" si="3"/>
        <v>-0.44984678725398652</v>
      </c>
      <c r="H37">
        <f t="shared" si="4"/>
        <v>-0.44984678725398652</v>
      </c>
      <c r="J37">
        <f t="shared" si="5"/>
        <v>15</v>
      </c>
      <c r="M37">
        <f t="shared" si="6"/>
        <v>2.2489994386332102</v>
      </c>
      <c r="N37">
        <f t="shared" si="7"/>
        <v>-1.5707963250000001</v>
      </c>
      <c r="O37">
        <f t="shared" si="8"/>
        <v>1.0943289396955387</v>
      </c>
      <c r="P37">
        <f t="shared" si="9"/>
        <v>0.41824778065316992</v>
      </c>
      <c r="Q37">
        <f t="shared" si="10"/>
        <v>1.1744054255034471</v>
      </c>
      <c r="R37">
        <f t="shared" si="11"/>
        <v>0.55196708360165969</v>
      </c>
      <c r="S37">
        <f t="shared" si="12"/>
        <v>0.9984366156346034</v>
      </c>
      <c r="T37">
        <f t="shared" si="13"/>
        <v>-5.5924804820243042E-2</v>
      </c>
      <c r="U37">
        <f t="shared" si="14"/>
        <v>0.99999998562109549</v>
      </c>
      <c r="V37">
        <f t="shared" si="15"/>
        <v>-1.6958127579599951E-4</v>
      </c>
      <c r="X37">
        <f t="shared" si="34"/>
        <v>36.790056083459454</v>
      </c>
      <c r="Y37">
        <f t="shared" si="16"/>
        <v>-58.068510282132728</v>
      </c>
      <c r="Z37">
        <f t="shared" si="35"/>
        <v>121.93148971786727</v>
      </c>
      <c r="AC37">
        <v>1</v>
      </c>
      <c r="AD37">
        <f t="shared" si="17"/>
        <v>0.444472528122</v>
      </c>
      <c r="AE37">
        <f t="shared" si="18"/>
        <v>-4.1890548824249817E-9</v>
      </c>
      <c r="AF37">
        <f t="shared" si="19"/>
        <v>2.470234300695E-5</v>
      </c>
      <c r="AG37">
        <f t="shared" si="36"/>
        <v>17986.266887412039</v>
      </c>
      <c r="AH37">
        <f t="shared" si="37"/>
        <v>-40485.040029512602</v>
      </c>
      <c r="AJ37">
        <f t="shared" si="20"/>
        <v>18000</v>
      </c>
      <c r="AK37">
        <f t="shared" si="21"/>
        <v>1007.6972584139999</v>
      </c>
      <c r="AL37">
        <v>1</v>
      </c>
      <c r="AM37">
        <f t="shared" si="22"/>
        <v>0.61581499125299999</v>
      </c>
      <c r="AN37">
        <f t="shared" si="38"/>
        <v>13500.707411466137</v>
      </c>
      <c r="AO37">
        <f t="shared" si="39"/>
        <v>-7306.2407580873314</v>
      </c>
      <c r="AQ37">
        <f t="shared" si="23"/>
        <v>1000</v>
      </c>
      <c r="AR37">
        <f t="shared" si="24"/>
        <v>-3000</v>
      </c>
      <c r="AT37">
        <f t="shared" si="52"/>
        <v>-103468853.20112577</v>
      </c>
      <c r="AU37">
        <f t="shared" si="53"/>
        <v>-94443840.691748708</v>
      </c>
      <c r="AV37">
        <f t="shared" si="42"/>
        <v>-2.4017638998157773</v>
      </c>
      <c r="AW37">
        <f t="shared" si="25"/>
        <v>-8426988.1212562993</v>
      </c>
      <c r="AX37">
        <f t="shared" si="26"/>
        <v>-48374062.289813928</v>
      </c>
      <c r="AY37">
        <f t="shared" si="50"/>
        <v>-1.7432702036909187</v>
      </c>
      <c r="BA37">
        <f t="shared" si="27"/>
        <v>2.853023560765882</v>
      </c>
      <c r="BB37">
        <f t="shared" si="43"/>
        <v>9.1061071630283958</v>
      </c>
      <c r="BC37">
        <f t="shared" si="44"/>
        <v>-0.65849369612485864</v>
      </c>
      <c r="BD37">
        <f t="shared" si="28"/>
        <v>-217.72890966703611</v>
      </c>
      <c r="BF37">
        <f t="shared" si="29"/>
        <v>36.690647775114357</v>
      </c>
      <c r="BG37">
        <f t="shared" si="30"/>
        <v>-58.172665373995713</v>
      </c>
      <c r="BH37">
        <f t="shared" si="45"/>
        <v>121.82733462600429</v>
      </c>
      <c r="BI37">
        <f t="shared" si="46"/>
        <v>121.82733462600429</v>
      </c>
      <c r="BJ37">
        <f t="shared" si="31"/>
        <v>0</v>
      </c>
      <c r="BK37">
        <f t="shared" si="47"/>
        <v>0</v>
      </c>
      <c r="BM37">
        <f t="shared" si="48"/>
        <v>27.584540612085963</v>
      </c>
      <c r="BN37">
        <f t="shared" si="32"/>
        <v>-20.443755706959621</v>
      </c>
      <c r="BQ37" s="66">
        <f t="shared" si="49"/>
        <v>26.008067963313533</v>
      </c>
      <c r="BR37" s="68"/>
      <c r="BS37" s="68"/>
      <c r="BT37" s="68">
        <v>186.209</v>
      </c>
      <c r="BU37" s="68">
        <v>29.901800000000001</v>
      </c>
      <c r="BV37" s="68">
        <v>-265.37959999999998</v>
      </c>
      <c r="BW37" s="75"/>
      <c r="BY37" s="68"/>
      <c r="BZ37" s="68"/>
      <c r="CA37" s="68"/>
      <c r="CC37" s="68"/>
    </row>
    <row r="38" spans="1:81" x14ac:dyDescent="0.2">
      <c r="A38">
        <f t="shared" ref="A38:A101" si="54">A37+500</f>
        <v>2000</v>
      </c>
      <c r="B38">
        <f t="shared" si="33"/>
        <v>2</v>
      </c>
      <c r="C38">
        <f t="shared" si="0"/>
        <v>1.0077088462458996</v>
      </c>
      <c r="D38">
        <f t="shared" si="1"/>
        <v>0.12377114296217653</v>
      </c>
      <c r="F38">
        <f t="shared" si="2"/>
        <v>2.3395482253876905</v>
      </c>
      <c r="G38">
        <f t="shared" si="3"/>
        <v>-1.0224045049510608</v>
      </c>
      <c r="H38">
        <f t="shared" si="4"/>
        <v>-1.0224045049510608</v>
      </c>
      <c r="J38">
        <f t="shared" si="5"/>
        <v>15</v>
      </c>
      <c r="M38">
        <f t="shared" si="6"/>
        <v>1.6867495789749074</v>
      </c>
      <c r="N38">
        <f t="shared" si="7"/>
        <v>-1.5707963250000001</v>
      </c>
      <c r="O38">
        <f t="shared" si="8"/>
        <v>1.1624157437606006</v>
      </c>
      <c r="P38">
        <f t="shared" si="9"/>
        <v>0.53498278636101315</v>
      </c>
      <c r="Q38">
        <f t="shared" si="10"/>
        <v>1.2939023514259713</v>
      </c>
      <c r="R38">
        <f t="shared" si="11"/>
        <v>0.68746706149525061</v>
      </c>
      <c r="S38">
        <f t="shared" si="12"/>
        <v>0.99722570652643838</v>
      </c>
      <c r="T38">
        <f t="shared" si="13"/>
        <v>-7.4506069651721143E-2</v>
      </c>
      <c r="U38">
        <f t="shared" si="14"/>
        <v>0.99999997443750344</v>
      </c>
      <c r="V38">
        <f t="shared" si="15"/>
        <v>-2.2610836604219681E-4</v>
      </c>
      <c r="X38">
        <f t="shared" si="34"/>
        <v>39.033307639896584</v>
      </c>
      <c r="Y38">
        <f t="shared" si="16"/>
        <v>-75.728520400972144</v>
      </c>
      <c r="Z38">
        <f t="shared" si="35"/>
        <v>104.27147959902786</v>
      </c>
      <c r="AC38">
        <v>1</v>
      </c>
      <c r="AD38">
        <f t="shared" si="17"/>
        <v>0.59263003749600007</v>
      </c>
      <c r="AE38">
        <f t="shared" si="18"/>
        <v>-7.4472086798666323E-9</v>
      </c>
      <c r="AF38">
        <f t="shared" si="19"/>
        <v>3.29364573426E-5</v>
      </c>
      <c r="AG38">
        <f t="shared" si="36"/>
        <v>17986.266485109903</v>
      </c>
      <c r="AH38">
        <f t="shared" si="37"/>
        <v>-30365.55926694379</v>
      </c>
      <c r="AJ38">
        <f t="shared" si="20"/>
        <v>18000</v>
      </c>
      <c r="AK38">
        <f t="shared" si="21"/>
        <v>1343.5963445519999</v>
      </c>
      <c r="AL38">
        <v>1</v>
      </c>
      <c r="AM38">
        <f t="shared" si="22"/>
        <v>0.82108665500400002</v>
      </c>
      <c r="AN38">
        <f t="shared" si="38"/>
        <v>11410.464484374774</v>
      </c>
      <c r="AO38">
        <f t="shared" si="39"/>
        <v>-8025.3837709652244</v>
      </c>
      <c r="AQ38">
        <f t="shared" si="23"/>
        <v>588.23529411764707</v>
      </c>
      <c r="AR38">
        <f t="shared" si="24"/>
        <v>-2352.9411764705883</v>
      </c>
      <c r="AT38">
        <f t="shared" si="52"/>
        <v>-60868217.989803098</v>
      </c>
      <c r="AU38">
        <f t="shared" si="53"/>
        <v>-60182720.710225537</v>
      </c>
      <c r="AV38">
        <f t="shared" si="42"/>
        <v>-2.3618573124679578</v>
      </c>
      <c r="AW38">
        <f t="shared" si="25"/>
        <v>-12171203.194257818</v>
      </c>
      <c r="AX38">
        <f t="shared" si="26"/>
        <v>-31982297.632638752</v>
      </c>
      <c r="AY38">
        <f t="shared" si="50"/>
        <v>-1.9344331315513368</v>
      </c>
      <c r="BA38">
        <f t="shared" si="27"/>
        <v>2.5013856302273916</v>
      </c>
      <c r="BB38">
        <f t="shared" si="43"/>
        <v>7.9636130122946414</v>
      </c>
      <c r="BC38">
        <f t="shared" si="44"/>
        <v>-0.42742418091662104</v>
      </c>
      <c r="BD38">
        <f t="shared" si="28"/>
        <v>-204.48960165634199</v>
      </c>
      <c r="BF38">
        <f t="shared" si="29"/>
        <v>38.93477965038015</v>
      </c>
      <c r="BG38">
        <f t="shared" si="30"/>
        <v>-75.977500686790492</v>
      </c>
      <c r="BH38">
        <f t="shared" si="45"/>
        <v>104.02249931320951</v>
      </c>
      <c r="BI38">
        <f t="shared" si="46"/>
        <v>104.02249931320951</v>
      </c>
      <c r="BJ38">
        <f t="shared" si="31"/>
        <v>0</v>
      </c>
      <c r="BK38">
        <f t="shared" si="47"/>
        <v>0</v>
      </c>
      <c r="BM38">
        <f t="shared" si="48"/>
        <v>30.971166638085506</v>
      </c>
      <c r="BN38">
        <f t="shared" si="32"/>
        <v>-51.487899030448517</v>
      </c>
      <c r="BQ38" s="66">
        <f t="shared" si="49"/>
        <v>24.865573812579779</v>
      </c>
      <c r="BR38" s="68"/>
      <c r="BS38" s="68"/>
      <c r="BT38" s="68">
        <v>190.54599999999999</v>
      </c>
      <c r="BU38" s="68">
        <v>29.566700000000001</v>
      </c>
      <c r="BV38" s="68">
        <v>-265.89449999999999</v>
      </c>
      <c r="BW38" s="75"/>
      <c r="BY38" s="68"/>
      <c r="BZ38" s="68"/>
      <c r="CA38" s="68"/>
      <c r="CC38" s="68"/>
    </row>
    <row r="39" spans="1:81" x14ac:dyDescent="0.2">
      <c r="A39">
        <f t="shared" si="54"/>
        <v>2500</v>
      </c>
      <c r="B39">
        <f t="shared" si="33"/>
        <v>2.5</v>
      </c>
      <c r="C39">
        <f t="shared" si="0"/>
        <v>1.0120192676666304</v>
      </c>
      <c r="D39">
        <f t="shared" si="1"/>
        <v>0.15427316000670208</v>
      </c>
      <c r="F39">
        <f t="shared" si="2"/>
        <v>1.9768475829249228</v>
      </c>
      <c r="G39">
        <f t="shared" si="3"/>
        <v>1.1228384966574445</v>
      </c>
      <c r="H39">
        <f t="shared" si="4"/>
        <v>-2.0187541533425559</v>
      </c>
      <c r="J39">
        <f t="shared" si="5"/>
        <v>15</v>
      </c>
      <c r="M39">
        <f t="shared" si="6"/>
        <v>1.3493996631799261</v>
      </c>
      <c r="N39">
        <f t="shared" si="7"/>
        <v>-1.5707963250000001</v>
      </c>
      <c r="O39">
        <f t="shared" si="8"/>
        <v>1.244494350970575</v>
      </c>
      <c r="P39">
        <f t="shared" si="9"/>
        <v>0.63757902037460357</v>
      </c>
      <c r="Q39">
        <f t="shared" si="10"/>
        <v>1.4329729231487907</v>
      </c>
      <c r="R39">
        <f t="shared" si="11"/>
        <v>0.79840515828280434</v>
      </c>
      <c r="S39">
        <f t="shared" si="12"/>
        <v>0.99567527782131859</v>
      </c>
      <c r="T39">
        <f t="shared" si="13"/>
        <v>-9.3035939101875964E-2</v>
      </c>
      <c r="U39">
        <f t="shared" si="14"/>
        <v>0.99999996005860003</v>
      </c>
      <c r="V39">
        <f t="shared" si="15"/>
        <v>-2.8263545484342062E-4</v>
      </c>
      <c r="X39">
        <f t="shared" si="34"/>
        <v>37.134848878894985</v>
      </c>
      <c r="Y39">
        <f t="shared" si="16"/>
        <v>-119.89781952231448</v>
      </c>
      <c r="Z39">
        <f t="shared" si="35"/>
        <v>60.102180477685522</v>
      </c>
      <c r="AC39">
        <v>1</v>
      </c>
      <c r="AD39">
        <f t="shared" si="17"/>
        <v>0.74078754687000004</v>
      </c>
      <c r="AE39">
        <f t="shared" si="18"/>
        <v>-1.1636263562291614E-8</v>
      </c>
      <c r="AF39">
        <f t="shared" si="19"/>
        <v>4.117057167825E-5</v>
      </c>
      <c r="AG39">
        <f t="shared" si="36"/>
        <v>17986.265967864314</v>
      </c>
      <c r="AH39">
        <f t="shared" si="37"/>
        <v>-24294.277493836795</v>
      </c>
      <c r="AJ39">
        <f t="shared" si="20"/>
        <v>18000</v>
      </c>
      <c r="AK39">
        <f t="shared" si="21"/>
        <v>1679.4954306899999</v>
      </c>
      <c r="AL39">
        <v>1</v>
      </c>
      <c r="AM39">
        <f t="shared" si="22"/>
        <v>1.0263583187550001</v>
      </c>
      <c r="AN39">
        <f t="shared" si="38"/>
        <v>9605.3640888635346</v>
      </c>
      <c r="AO39">
        <f t="shared" si="39"/>
        <v>-8179.0499065856311</v>
      </c>
      <c r="AQ39">
        <f t="shared" si="23"/>
        <v>384.61538461538464</v>
      </c>
      <c r="AR39">
        <f t="shared" si="24"/>
        <v>-1923.0769230769231</v>
      </c>
      <c r="AT39">
        <f t="shared" si="52"/>
        <v>-39801969.808199868</v>
      </c>
      <c r="AU39">
        <f t="shared" si="53"/>
        <v>-43932925.897368602</v>
      </c>
      <c r="AV39">
        <f t="shared" si="42"/>
        <v>-2.3069007088201521</v>
      </c>
      <c r="AW39">
        <f t="shared" si="25"/>
        <v>-12026794.571202029</v>
      </c>
      <c r="AX39">
        <f t="shared" si="26"/>
        <v>-21940749.480018955</v>
      </c>
      <c r="AY39">
        <f t="shared" si="50"/>
        <v>-2.0722171275171584</v>
      </c>
      <c r="BA39">
        <f t="shared" si="27"/>
        <v>2.3692899042529016</v>
      </c>
      <c r="BB39">
        <f t="shared" si="43"/>
        <v>7.4923640773870073</v>
      </c>
      <c r="BC39">
        <f t="shared" si="44"/>
        <v>-0.23468358130299372</v>
      </c>
      <c r="BD39">
        <f t="shared" si="28"/>
        <v>-193.44637874504159</v>
      </c>
      <c r="BF39">
        <f t="shared" si="29"/>
        <v>37.037428600014472</v>
      </c>
      <c r="BG39">
        <f t="shared" si="30"/>
        <v>-120.2732707676129</v>
      </c>
      <c r="BH39">
        <f t="shared" si="45"/>
        <v>59.7267292323871</v>
      </c>
      <c r="BI39">
        <f t="shared" si="46"/>
        <v>59.7267292323871</v>
      </c>
      <c r="BJ39">
        <f t="shared" si="31"/>
        <v>0</v>
      </c>
      <c r="BK39">
        <f t="shared" si="47"/>
        <v>0</v>
      </c>
      <c r="BM39">
        <f t="shared" si="48"/>
        <v>29.545064522627463</v>
      </c>
      <c r="BN39">
        <f t="shared" si="32"/>
        <v>-106.82689202257131</v>
      </c>
      <c r="BQ39" s="66">
        <f t="shared" si="49"/>
        <v>24.39432487767214</v>
      </c>
      <c r="BR39" s="68"/>
      <c r="BS39" s="68"/>
      <c r="BT39" s="68">
        <v>194.98400000000001</v>
      </c>
      <c r="BU39" s="68">
        <v>29.685600000000001</v>
      </c>
      <c r="BV39" s="68">
        <v>-265.6327</v>
      </c>
      <c r="BW39" s="75"/>
      <c r="BY39" s="68"/>
      <c r="BZ39" s="68"/>
      <c r="CA39" s="68"/>
      <c r="CC39" s="68"/>
    </row>
    <row r="40" spans="1:81" x14ac:dyDescent="0.2">
      <c r="A40">
        <f t="shared" si="54"/>
        <v>3000</v>
      </c>
      <c r="B40">
        <f t="shared" si="33"/>
        <v>3</v>
      </c>
      <c r="C40">
        <f t="shared" si="0"/>
        <v>1.0172627572584403</v>
      </c>
      <c r="D40">
        <f t="shared" si="1"/>
        <v>0.18448862110272696</v>
      </c>
      <c r="F40">
        <f t="shared" si="2"/>
        <v>1.0685636949614405</v>
      </c>
      <c r="G40">
        <f t="shared" si="3"/>
        <v>0.62444531171814655</v>
      </c>
      <c r="H40">
        <f t="shared" si="4"/>
        <v>-2.5171473382818537</v>
      </c>
      <c r="J40">
        <f t="shared" si="5"/>
        <v>15</v>
      </c>
      <c r="M40">
        <f t="shared" si="6"/>
        <v>1.1244997193166051</v>
      </c>
      <c r="N40">
        <f t="shared" si="7"/>
        <v>-1.5707963250000001</v>
      </c>
      <c r="O40">
        <f t="shared" si="8"/>
        <v>1.3379922694173718</v>
      </c>
      <c r="P40">
        <f t="shared" si="9"/>
        <v>0.72667371605330466</v>
      </c>
      <c r="Q40">
        <f t="shared" si="10"/>
        <v>1.5864779903319586</v>
      </c>
      <c r="R40">
        <f t="shared" si="11"/>
        <v>0.88882190317639087</v>
      </c>
      <c r="S40">
        <f t="shared" si="12"/>
        <v>0.99379009397439622</v>
      </c>
      <c r="T40">
        <f t="shared" si="13"/>
        <v>-0.11150196272333443</v>
      </c>
      <c r="U40">
        <f t="shared" si="14"/>
        <v>0.99999994248438573</v>
      </c>
      <c r="V40">
        <f t="shared" si="15"/>
        <v>-3.3916254183842764E-4</v>
      </c>
      <c r="X40">
        <f t="shared" si="34"/>
        <v>31.749329281847455</v>
      </c>
      <c r="Y40">
        <f t="shared" si="16"/>
        <v>-137.49844324299295</v>
      </c>
      <c r="Z40">
        <f t="shared" si="35"/>
        <v>42.501556757007052</v>
      </c>
      <c r="AA40">
        <f>20*LOG(7)</f>
        <v>16.901960800285135</v>
      </c>
      <c r="AC40">
        <v>1</v>
      </c>
      <c r="AD40">
        <f t="shared" si="17"/>
        <v>0.888945056244</v>
      </c>
      <c r="AE40">
        <f t="shared" si="18"/>
        <v>-1.6756219529699927E-8</v>
      </c>
      <c r="AF40">
        <f t="shared" si="19"/>
        <v>4.94046860139E-5</v>
      </c>
      <c r="AG40">
        <f t="shared" si="36"/>
        <v>17986.2653356753</v>
      </c>
      <c r="AH40">
        <f t="shared" si="37"/>
        <v>-20247.095215402227</v>
      </c>
      <c r="AJ40">
        <f t="shared" si="20"/>
        <v>18000</v>
      </c>
      <c r="AK40">
        <f t="shared" si="21"/>
        <v>2015.3945168279997</v>
      </c>
      <c r="AL40">
        <v>1</v>
      </c>
      <c r="AM40">
        <f t="shared" si="22"/>
        <v>1.231629982506</v>
      </c>
      <c r="AN40">
        <f t="shared" si="38"/>
        <v>8137.8359457955376</v>
      </c>
      <c r="AO40">
        <f t="shared" si="39"/>
        <v>-8007.4082267288559</v>
      </c>
      <c r="AQ40">
        <f t="shared" si="23"/>
        <v>270.27027027027026</v>
      </c>
      <c r="AR40">
        <f t="shared" si="24"/>
        <v>-1621.6216216216217</v>
      </c>
      <c r="AT40">
        <f t="shared" si="52"/>
        <v>-27971974.582902178</v>
      </c>
      <c r="AU40">
        <f t="shared" si="53"/>
        <v>-34639104.656609192</v>
      </c>
      <c r="AV40">
        <f t="shared" si="42"/>
        <v>-2.2501094226637002</v>
      </c>
      <c r="AW40">
        <f t="shared" si="25"/>
        <v>-10771484.055901423</v>
      </c>
      <c r="AX40">
        <f t="shared" si="26"/>
        <v>-15624791.555765059</v>
      </c>
      <c r="AY40">
        <f t="shared" si="50"/>
        <v>-2.1743619884501086</v>
      </c>
      <c r="BA40">
        <f t="shared" si="27"/>
        <v>2.346051005330005</v>
      </c>
      <c r="BB40">
        <f t="shared" si="43"/>
        <v>7.4067489969591076</v>
      </c>
      <c r="BC40">
        <f t="shared" si="44"/>
        <v>-7.5747434213591536E-2</v>
      </c>
      <c r="BD40">
        <f t="shared" si="28"/>
        <v>-184.34000829434282</v>
      </c>
      <c r="BF40">
        <f t="shared" si="29"/>
        <v>31.653245371086626</v>
      </c>
      <c r="BG40">
        <f t="shared" si="30"/>
        <v>-137.99150798582662</v>
      </c>
      <c r="BH40">
        <f t="shared" si="45"/>
        <v>42.008492014173385</v>
      </c>
      <c r="BI40">
        <f t="shared" si="46"/>
        <v>42.008492014173385</v>
      </c>
      <c r="BJ40">
        <f t="shared" si="31"/>
        <v>0</v>
      </c>
      <c r="BK40">
        <f t="shared" si="47"/>
        <v>0</v>
      </c>
      <c r="BM40">
        <f t="shared" si="48"/>
        <v>24.246496374127521</v>
      </c>
      <c r="BN40">
        <f t="shared" si="32"/>
        <v>-133.65149969148379</v>
      </c>
      <c r="BQ40" s="66">
        <f t="shared" si="49"/>
        <v>24.308709797244244</v>
      </c>
      <c r="BR40" s="68"/>
      <c r="BS40" s="68"/>
      <c r="BT40" s="68">
        <v>199.52600000000001</v>
      </c>
      <c r="BU40" s="68">
        <v>29.050999999999998</v>
      </c>
      <c r="BV40" s="68">
        <v>-267.80150000000003</v>
      </c>
      <c r="BW40" s="75"/>
      <c r="BY40" s="68"/>
      <c r="BZ40" s="68"/>
      <c r="CA40" s="68"/>
      <c r="CC40" s="68"/>
    </row>
    <row r="41" spans="1:81" x14ac:dyDescent="0.2">
      <c r="A41">
        <f t="shared" si="54"/>
        <v>3500</v>
      </c>
      <c r="B41">
        <f t="shared" si="33"/>
        <v>3.5</v>
      </c>
      <c r="C41">
        <f t="shared" si="0"/>
        <v>1.0234249734747858</v>
      </c>
      <c r="D41">
        <f t="shared" si="1"/>
        <v>0.21436724086884743</v>
      </c>
      <c r="F41">
        <f t="shared" si="2"/>
        <v>0.65085371999974528</v>
      </c>
      <c r="G41">
        <f t="shared" si="3"/>
        <v>0.42844270863804296</v>
      </c>
      <c r="H41">
        <f t="shared" si="4"/>
        <v>-2.7131499413619573</v>
      </c>
      <c r="J41">
        <f t="shared" si="5"/>
        <v>15</v>
      </c>
      <c r="M41">
        <f t="shared" si="6"/>
        <v>0.96385690227137588</v>
      </c>
      <c r="N41">
        <f t="shared" si="7"/>
        <v>-1.5707963250000001</v>
      </c>
      <c r="O41">
        <f t="shared" si="8"/>
        <v>1.440687936928549</v>
      </c>
      <c r="P41">
        <f t="shared" si="9"/>
        <v>0.8036095506921257</v>
      </c>
      <c r="Q41">
        <f t="shared" si="10"/>
        <v>1.7506245574126045</v>
      </c>
      <c r="R41">
        <f t="shared" si="11"/>
        <v>0.9627991440118524</v>
      </c>
      <c r="S41">
        <f t="shared" si="12"/>
        <v>0.99157589494058251</v>
      </c>
      <c r="T41">
        <f t="shared" si="13"/>
        <v>-0.12989194965369272</v>
      </c>
      <c r="U41">
        <f t="shared" si="14"/>
        <v>0.99999992171486063</v>
      </c>
      <c r="V41">
        <f t="shared" si="15"/>
        <v>-3.9568962666597471E-4</v>
      </c>
      <c r="X41">
        <f t="shared" si="34"/>
        <v>27.634641706610033</v>
      </c>
      <c r="Y41">
        <f t="shared" si="16"/>
        <v>-139.42687146677284</v>
      </c>
      <c r="Z41">
        <f t="shared" si="35"/>
        <v>40.573128533227163</v>
      </c>
      <c r="AC41">
        <v>1</v>
      </c>
      <c r="AD41">
        <f t="shared" si="17"/>
        <v>1.0371025656180002</v>
      </c>
      <c r="AE41">
        <f t="shared" si="18"/>
        <v>-2.2807076582091564E-8</v>
      </c>
      <c r="AF41">
        <f t="shared" si="19"/>
        <v>5.763880034955E-5</v>
      </c>
      <c r="AG41">
        <f t="shared" si="36"/>
        <v>17986.264588542897</v>
      </c>
      <c r="AH41">
        <f t="shared" si="37"/>
        <v>-17356.541219576357</v>
      </c>
      <c r="AJ41">
        <f t="shared" si="20"/>
        <v>18000</v>
      </c>
      <c r="AK41">
        <f t="shared" si="21"/>
        <v>2351.293602966</v>
      </c>
      <c r="AL41">
        <v>1</v>
      </c>
      <c r="AM41">
        <f t="shared" si="22"/>
        <v>1.4369016462569999</v>
      </c>
      <c r="AN41">
        <f t="shared" si="38"/>
        <v>6975.7799885803233</v>
      </c>
      <c r="AO41">
        <f t="shared" si="39"/>
        <v>-7672.2161465517029</v>
      </c>
      <c r="AQ41">
        <f t="shared" si="23"/>
        <v>200</v>
      </c>
      <c r="AR41">
        <f t="shared" si="24"/>
        <v>-1400</v>
      </c>
      <c r="AT41">
        <f t="shared" si="52"/>
        <v>-20701904.789698321</v>
      </c>
      <c r="AU41">
        <f t="shared" si="53"/>
        <v>-28652078.667875327</v>
      </c>
      <c r="AV41">
        <f t="shared" si="42"/>
        <v>-2.1964817379201698</v>
      </c>
      <c r="AW41">
        <f t="shared" si="25"/>
        <v>-9326862.6200512536</v>
      </c>
      <c r="AX41">
        <f t="shared" si="26"/>
        <v>-11523464.605934162</v>
      </c>
      <c r="AY41">
        <f t="shared" si="50"/>
        <v>-2.2512307125406936</v>
      </c>
      <c r="BA41">
        <f t="shared" si="27"/>
        <v>2.3843789017008232</v>
      </c>
      <c r="BB41">
        <f t="shared" si="43"/>
        <v>7.5475054059482547</v>
      </c>
      <c r="BC41">
        <f t="shared" si="44"/>
        <v>5.474897462052386E-2</v>
      </c>
      <c r="BD41">
        <f t="shared" si="28"/>
        <v>-176.86311481799072</v>
      </c>
      <c r="BF41">
        <f t="shared" si="29"/>
        <v>27.540118622895257</v>
      </c>
      <c r="BG41">
        <f t="shared" si="30"/>
        <v>-140.03281764014361</v>
      </c>
      <c r="BH41">
        <f t="shared" si="45"/>
        <v>39.967182359856395</v>
      </c>
      <c r="BI41">
        <f t="shared" si="46"/>
        <v>39.967182359856395</v>
      </c>
      <c r="BJ41">
        <f t="shared" si="31"/>
        <v>0</v>
      </c>
      <c r="BK41">
        <f t="shared" si="47"/>
        <v>0</v>
      </c>
      <c r="BM41">
        <f t="shared" si="48"/>
        <v>19.992613216947003</v>
      </c>
      <c r="BN41">
        <f t="shared" si="32"/>
        <v>-143.16970282215289</v>
      </c>
      <c r="BQ41" s="66">
        <f t="shared" si="49"/>
        <v>24.449466206233392</v>
      </c>
      <c r="BR41" s="68"/>
      <c r="BS41" s="68"/>
      <c r="BT41" s="68">
        <v>204.17400000000001</v>
      </c>
      <c r="BU41" s="68">
        <v>28.424299999999999</v>
      </c>
      <c r="BV41" s="68">
        <v>-264.16840000000002</v>
      </c>
      <c r="BW41" s="75"/>
      <c r="BY41" s="68"/>
      <c r="BZ41" s="68"/>
      <c r="CA41" s="68"/>
      <c r="CC41" s="68"/>
    </row>
    <row r="42" spans="1:81" x14ac:dyDescent="0.2">
      <c r="A42">
        <f t="shared" si="54"/>
        <v>4000</v>
      </c>
      <c r="B42">
        <f t="shared" si="33"/>
        <v>4</v>
      </c>
      <c r="C42">
        <f t="shared" si="0"/>
        <v>1.0304894347876488</v>
      </c>
      <c r="D42">
        <f t="shared" si="1"/>
        <v>0.24386224655618216</v>
      </c>
      <c r="F42">
        <f t="shared" si="2"/>
        <v>0.44338887298112406</v>
      </c>
      <c r="G42">
        <f t="shared" si="3"/>
        <v>0.32938104140740854</v>
      </c>
      <c r="H42">
        <f t="shared" si="4"/>
        <v>-2.8122116085925919</v>
      </c>
      <c r="J42">
        <f t="shared" si="5"/>
        <v>15</v>
      </c>
      <c r="M42">
        <f t="shared" si="6"/>
        <v>0.8433747894874537</v>
      </c>
      <c r="N42">
        <f t="shared" si="7"/>
        <v>-1.5707963250000001</v>
      </c>
      <c r="O42">
        <f t="shared" si="8"/>
        <v>1.5507551210200925</v>
      </c>
      <c r="P42">
        <f t="shared" si="9"/>
        <v>0.86997306132578411</v>
      </c>
      <c r="Q42">
        <f t="shared" si="10"/>
        <v>1.922689049249158</v>
      </c>
      <c r="R42">
        <f t="shared" si="11"/>
        <v>1.0238225590687984</v>
      </c>
      <c r="S42">
        <f t="shared" si="12"/>
        <v>0.98903934838553886</v>
      </c>
      <c r="T42">
        <f t="shared" si="13"/>
        <v>-0.1481940146682961</v>
      </c>
      <c r="U42">
        <f t="shared" si="14"/>
        <v>0.99999989775002573</v>
      </c>
      <c r="V42">
        <f t="shared" si="15"/>
        <v>-4.5221670896481862E-4</v>
      </c>
      <c r="X42">
        <f t="shared" si="34"/>
        <v>24.632120197858477</v>
      </c>
      <c r="Y42">
        <f t="shared" si="16"/>
        <v>-137.16588420317186</v>
      </c>
      <c r="Z42">
        <f t="shared" si="35"/>
        <v>42.834115796828144</v>
      </c>
      <c r="AC42">
        <v>1</v>
      </c>
      <c r="AD42">
        <f t="shared" si="17"/>
        <v>1.1852600749920001</v>
      </c>
      <c r="AE42">
        <f t="shared" si="18"/>
        <v>-2.9788834719466529E-8</v>
      </c>
      <c r="AF42">
        <f t="shared" si="19"/>
        <v>6.58729146852E-5</v>
      </c>
      <c r="AG42">
        <f t="shared" si="36"/>
        <v>17986.263726467118</v>
      </c>
      <c r="AH42">
        <f t="shared" si="37"/>
        <v>-15188.879900317572</v>
      </c>
      <c r="AJ42">
        <f t="shared" si="20"/>
        <v>18000</v>
      </c>
      <c r="AK42">
        <f t="shared" si="21"/>
        <v>2687.1926891039998</v>
      </c>
      <c r="AL42">
        <v>1</v>
      </c>
      <c r="AM42">
        <f t="shared" si="22"/>
        <v>1.642173310008</v>
      </c>
      <c r="AN42">
        <f t="shared" si="38"/>
        <v>6062.87633457846</v>
      </c>
      <c r="AO42">
        <f t="shared" si="39"/>
        <v>-7269.10100941988</v>
      </c>
      <c r="AQ42">
        <f t="shared" si="23"/>
        <v>153.84615384615384</v>
      </c>
      <c r="AR42">
        <f t="shared" si="24"/>
        <v>-1230.7692307692307</v>
      </c>
      <c r="AT42">
        <f t="shared" si="52"/>
        <v>-15926888.53478053</v>
      </c>
      <c r="AU42">
        <f t="shared" si="53"/>
        <v>-24473690.724931464</v>
      </c>
      <c r="AV42">
        <f t="shared" si="42"/>
        <v>-2.1477168144262122</v>
      </c>
      <c r="AW42">
        <f t="shared" si="25"/>
        <v>-7990826.1724172486</v>
      </c>
      <c r="AX42">
        <f t="shared" si="26"/>
        <v>-8773001.9495312553</v>
      </c>
      <c r="AY42">
        <f t="shared" si="50"/>
        <v>-2.30956976296976</v>
      </c>
      <c r="BA42">
        <f t="shared" si="27"/>
        <v>2.4606463458485104</v>
      </c>
      <c r="BB42">
        <f t="shared" si="43"/>
        <v>7.8209839921929047</v>
      </c>
      <c r="BC42">
        <f t="shared" si="44"/>
        <v>0.16185294854354781</v>
      </c>
      <c r="BD42">
        <f t="shared" si="28"/>
        <v>-170.72650913611011</v>
      </c>
      <c r="BF42">
        <f t="shared" si="29"/>
        <v>24.539375845451204</v>
      </c>
      <c r="BG42">
        <f t="shared" si="30"/>
        <v>-137.88208806406365</v>
      </c>
      <c r="BH42">
        <f t="shared" si="45"/>
        <v>42.117911935936348</v>
      </c>
      <c r="BI42">
        <f t="shared" si="46"/>
        <v>42.117911935936348</v>
      </c>
      <c r="BJ42">
        <f t="shared" si="31"/>
        <v>0</v>
      </c>
      <c r="BK42">
        <f t="shared" si="47"/>
        <v>0</v>
      </c>
      <c r="BM42">
        <f t="shared" si="48"/>
        <v>16.7183918532583</v>
      </c>
      <c r="BN42">
        <f t="shared" si="32"/>
        <v>-147.15557892795354</v>
      </c>
      <c r="BQ42" s="66">
        <f t="shared" si="49"/>
        <v>24.722944792478042</v>
      </c>
      <c r="BR42" s="68"/>
      <c r="BS42" s="68"/>
      <c r="BT42" s="68">
        <v>208.93</v>
      </c>
      <c r="BU42" s="68">
        <v>28.510899999999999</v>
      </c>
      <c r="BV42" s="68">
        <v>-267.69110000000001</v>
      </c>
      <c r="BW42" s="75"/>
      <c r="BY42" s="68"/>
      <c r="BZ42" s="68"/>
      <c r="CA42" s="68"/>
      <c r="CC42" s="68"/>
    </row>
    <row r="43" spans="1:81" x14ac:dyDescent="0.2">
      <c r="A43">
        <f t="shared" si="54"/>
        <v>4500</v>
      </c>
      <c r="B43">
        <f t="shared" si="33"/>
        <v>4.5</v>
      </c>
      <c r="C43">
        <f t="shared" si="0"/>
        <v>1.0384377275197343</v>
      </c>
      <c r="D43">
        <f t="shared" si="1"/>
        <v>0.27293072022222775</v>
      </c>
      <c r="F43">
        <f t="shared" si="2"/>
        <v>0.32465291424732218</v>
      </c>
      <c r="G43">
        <f t="shared" si="3"/>
        <v>0.26970061947066964</v>
      </c>
      <c r="H43">
        <f t="shared" si="4"/>
        <v>-2.8718920305293305</v>
      </c>
      <c r="J43">
        <f t="shared" si="5"/>
        <v>15</v>
      </c>
      <c r="M43">
        <f t="shared" si="6"/>
        <v>0.74966647954440335</v>
      </c>
      <c r="N43">
        <f t="shared" si="7"/>
        <v>-1.5707963250000001</v>
      </c>
      <c r="O43">
        <f t="shared" si="8"/>
        <v>1.6667340682593785</v>
      </c>
      <c r="P43">
        <f t="shared" si="9"/>
        <v>0.92732554714683735</v>
      </c>
      <c r="Q43">
        <f t="shared" si="10"/>
        <v>2.1007267625913162</v>
      </c>
      <c r="R43">
        <f t="shared" si="11"/>
        <v>1.0746663017641582</v>
      </c>
      <c r="S43">
        <f t="shared" si="12"/>
        <v>0.98618799510077126</v>
      </c>
      <c r="T43">
        <f t="shared" si="13"/>
        <v>-0.16639662121903728</v>
      </c>
      <c r="U43">
        <f t="shared" si="14"/>
        <v>0.99999987058988171</v>
      </c>
      <c r="V43">
        <f t="shared" si="15"/>
        <v>-5.0874378837371644E-4</v>
      </c>
      <c r="X43">
        <f t="shared" si="34"/>
        <v>22.339093025778361</v>
      </c>
      <c r="Y43">
        <f t="shared" si="16"/>
        <v>-133.76680367922086</v>
      </c>
      <c r="Z43">
        <f t="shared" si="35"/>
        <v>46.233196320779143</v>
      </c>
      <c r="AC43">
        <v>1</v>
      </c>
      <c r="AD43">
        <f t="shared" si="17"/>
        <v>1.3334175843660001</v>
      </c>
      <c r="AE43">
        <f t="shared" si="18"/>
        <v>-3.7701493941824831E-8</v>
      </c>
      <c r="AF43">
        <f t="shared" si="19"/>
        <v>7.410702902085E-5</v>
      </c>
      <c r="AG43">
        <f t="shared" si="36"/>
        <v>17986.262749448</v>
      </c>
      <c r="AH43">
        <f t="shared" si="37"/>
        <v>-13503.147032038538</v>
      </c>
      <c r="AJ43">
        <f t="shared" si="20"/>
        <v>18000</v>
      </c>
      <c r="AK43">
        <f t="shared" si="21"/>
        <v>3023.0917752419996</v>
      </c>
      <c r="AL43">
        <v>1</v>
      </c>
      <c r="AM43">
        <f t="shared" si="22"/>
        <v>1.847444973759</v>
      </c>
      <c r="AN43">
        <f t="shared" si="38"/>
        <v>5344.3718155627157</v>
      </c>
      <c r="AO43">
        <f t="shared" si="39"/>
        <v>-6850.341073318601</v>
      </c>
      <c r="AQ43">
        <f t="shared" si="23"/>
        <v>121.95121951219512</v>
      </c>
      <c r="AR43">
        <f t="shared" si="24"/>
        <v>-1097.560975609756</v>
      </c>
      <c r="AT43">
        <f t="shared" si="52"/>
        <v>-12627080.553524248</v>
      </c>
      <c r="AU43">
        <f t="shared" si="53"/>
        <v>-21387745.338667139</v>
      </c>
      <c r="AV43">
        <f t="shared" si="42"/>
        <v>-2.1041186290574339</v>
      </c>
      <c r="AW43">
        <f t="shared" si="25"/>
        <v>-6840815.3170596417</v>
      </c>
      <c r="AX43">
        <f t="shared" si="26"/>
        <v>-6870781.8662148211</v>
      </c>
      <c r="AY43">
        <f t="shared" si="50"/>
        <v>-2.3540090043554729</v>
      </c>
      <c r="BA43">
        <f t="shared" si="27"/>
        <v>2.5616856890597028</v>
      </c>
      <c r="BB43">
        <f t="shared" si="43"/>
        <v>8.1705168416557061</v>
      </c>
      <c r="BC43">
        <f t="shared" si="44"/>
        <v>0.24989037529803904</v>
      </c>
      <c r="BD43">
        <f t="shared" si="28"/>
        <v>-165.68233613812185</v>
      </c>
      <c r="BF43">
        <f t="shared" si="29"/>
        <v>22.248337298433047</v>
      </c>
      <c r="BG43">
        <f t="shared" si="30"/>
        <v>-134.59185050666306</v>
      </c>
      <c r="BH43">
        <f t="shared" si="45"/>
        <v>45.408149493336936</v>
      </c>
      <c r="BI43">
        <f t="shared" si="46"/>
        <v>45.408149493336936</v>
      </c>
      <c r="BJ43">
        <f t="shared" si="31"/>
        <v>0</v>
      </c>
      <c r="BK43">
        <f t="shared" si="47"/>
        <v>0</v>
      </c>
      <c r="BM43">
        <f t="shared" si="48"/>
        <v>14.077820456777344</v>
      </c>
      <c r="BN43">
        <f t="shared" si="32"/>
        <v>-148.90951436854121</v>
      </c>
      <c r="BQ43" s="66">
        <f t="shared" si="49"/>
        <v>25.072477641940839</v>
      </c>
      <c r="BR43" s="68"/>
      <c r="BS43" s="68"/>
      <c r="BT43" s="68">
        <v>213.79599999999999</v>
      </c>
      <c r="BU43" s="68">
        <v>28.178999999999998</v>
      </c>
      <c r="BV43" s="68">
        <v>-266.9667</v>
      </c>
      <c r="BW43" s="75"/>
      <c r="BY43" s="68"/>
      <c r="BZ43" s="68"/>
      <c r="CA43" s="68"/>
      <c r="CC43" s="68"/>
    </row>
    <row r="44" spans="1:81" x14ac:dyDescent="0.2">
      <c r="A44">
        <f t="shared" si="54"/>
        <v>5000</v>
      </c>
      <c r="B44">
        <f t="shared" si="33"/>
        <v>5</v>
      </c>
      <c r="C44">
        <f t="shared" si="0"/>
        <v>1.0472497278653321</v>
      </c>
      <c r="D44">
        <f t="shared" si="1"/>
        <v>0.30153385108122049</v>
      </c>
      <c r="F44">
        <f t="shared" si="2"/>
        <v>0.24956556490295481</v>
      </c>
      <c r="G44">
        <f t="shared" si="3"/>
        <v>0.22958791810831305</v>
      </c>
      <c r="H44">
        <f t="shared" si="4"/>
        <v>-2.9120047318916873</v>
      </c>
      <c r="J44">
        <f t="shared" si="5"/>
        <v>15</v>
      </c>
      <c r="M44">
        <f t="shared" si="6"/>
        <v>0.67469983158996305</v>
      </c>
      <c r="N44">
        <f t="shared" si="7"/>
        <v>-1.5707963250000001</v>
      </c>
      <c r="O44">
        <f t="shared" si="8"/>
        <v>1.7874744077582454</v>
      </c>
      <c r="P44">
        <f t="shared" si="9"/>
        <v>0.97707596037358235</v>
      </c>
      <c r="Q44">
        <f t="shared" si="10"/>
        <v>2.2833408842987857</v>
      </c>
      <c r="R44">
        <f t="shared" si="11"/>
        <v>1.117473946090594</v>
      </c>
      <c r="S44">
        <f t="shared" si="12"/>
        <v>0.9830301884785756</v>
      </c>
      <c r="T44">
        <f t="shared" si="13"/>
        <v>-0.18448862110272696</v>
      </c>
      <c r="U44">
        <f t="shared" si="14"/>
        <v>0.999999840234429</v>
      </c>
      <c r="V44">
        <f t="shared" si="15"/>
        <v>-5.6527086453142528E-4</v>
      </c>
      <c r="X44">
        <f t="shared" si="34"/>
        <v>20.51628298485269</v>
      </c>
      <c r="Y44">
        <f t="shared" si="16"/>
        <v>-130.16290143040624</v>
      </c>
      <c r="Z44">
        <f t="shared" si="35"/>
        <v>49.837098569593763</v>
      </c>
      <c r="AC44">
        <v>1</v>
      </c>
      <c r="AD44">
        <f t="shared" si="17"/>
        <v>1.4815750937400001</v>
      </c>
      <c r="AE44">
        <f t="shared" si="18"/>
        <v>-4.6545054249166456E-8</v>
      </c>
      <c r="AF44">
        <f t="shared" si="19"/>
        <v>8.23411433565E-5</v>
      </c>
      <c r="AG44">
        <f t="shared" si="36"/>
        <v>17986.261657485582</v>
      </c>
      <c r="AH44">
        <f t="shared" si="37"/>
        <v>-12154.764079379054</v>
      </c>
      <c r="AJ44">
        <f t="shared" si="20"/>
        <v>18000</v>
      </c>
      <c r="AK44">
        <f t="shared" si="21"/>
        <v>3358.9908613799998</v>
      </c>
      <c r="AL44">
        <v>1</v>
      </c>
      <c r="AM44">
        <f t="shared" si="22"/>
        <v>2.0527166375100001</v>
      </c>
      <c r="AN44">
        <f t="shared" si="38"/>
        <v>4774.9805731860024</v>
      </c>
      <c r="AO44">
        <f t="shared" si="39"/>
        <v>-6442.6912049859448</v>
      </c>
      <c r="AQ44">
        <f t="shared" si="23"/>
        <v>99.009900990099013</v>
      </c>
      <c r="AR44">
        <f t="shared" si="24"/>
        <v>-990.09900990099015</v>
      </c>
      <c r="AT44">
        <f t="shared" si="52"/>
        <v>-10253601.894683659</v>
      </c>
      <c r="AU44">
        <f t="shared" si="53"/>
        <v>-19011621.846953951</v>
      </c>
      <c r="AV44">
        <f t="shared" si="42"/>
        <v>-2.0654133115895803</v>
      </c>
      <c r="AW44">
        <f t="shared" si="25"/>
        <v>-5877584.3897801433</v>
      </c>
      <c r="AX44">
        <f t="shared" si="26"/>
        <v>-5517045.7679050537</v>
      </c>
      <c r="AY44">
        <f t="shared" si="50"/>
        <v>-2.3878250363587279</v>
      </c>
      <c r="BA44">
        <f t="shared" si="27"/>
        <v>2.6795363756127086</v>
      </c>
      <c r="BB44">
        <f t="shared" si="43"/>
        <v>8.5611931422830025</v>
      </c>
      <c r="BC44">
        <f t="shared" si="44"/>
        <v>0.32241172476914759</v>
      </c>
      <c r="BD44">
        <f t="shared" si="28"/>
        <v>-161.52716888408605</v>
      </c>
      <c r="BF44">
        <f t="shared" si="29"/>
        <v>20.427716669402074</v>
      </c>
      <c r="BG44">
        <f t="shared" si="30"/>
        <v>-131.09613306723179</v>
      </c>
      <c r="BH44">
        <f t="shared" si="45"/>
        <v>48.90386693276821</v>
      </c>
      <c r="BI44">
        <f t="shared" si="46"/>
        <v>48.90386693276821</v>
      </c>
      <c r="BJ44">
        <f t="shared" si="31"/>
        <v>0</v>
      </c>
      <c r="BK44">
        <f t="shared" si="47"/>
        <v>0</v>
      </c>
      <c r="BM44">
        <f t="shared" si="48"/>
        <v>11.866523527119067</v>
      </c>
      <c r="BN44">
        <f t="shared" si="32"/>
        <v>-149.56896418314577</v>
      </c>
      <c r="BQ44" s="66">
        <f t="shared" si="49"/>
        <v>25.463153942568137</v>
      </c>
      <c r="BR44" s="68"/>
      <c r="BS44" s="68"/>
      <c r="BT44" s="68">
        <v>218.77600000000001</v>
      </c>
      <c r="BU44" s="68">
        <v>27.706399999999999</v>
      </c>
      <c r="BV44" s="68">
        <v>-263.5369</v>
      </c>
      <c r="BW44" s="75"/>
      <c r="BY44" s="68"/>
      <c r="BZ44" s="68"/>
      <c r="CA44" s="68"/>
      <c r="CC44" s="68"/>
    </row>
    <row r="45" spans="1:81" x14ac:dyDescent="0.2">
      <c r="A45">
        <f t="shared" si="54"/>
        <v>5500</v>
      </c>
      <c r="B45">
        <f t="shared" si="33"/>
        <v>5.5</v>
      </c>
      <c r="C45">
        <f t="shared" si="0"/>
        <v>1.0569038324000697</v>
      </c>
      <c r="D45">
        <f t="shared" si="1"/>
        <v>0.32963709847583361</v>
      </c>
      <c r="F45">
        <f t="shared" si="2"/>
        <v>0.19865178043797263</v>
      </c>
      <c r="G45">
        <f t="shared" si="3"/>
        <v>0.20060615731396497</v>
      </c>
      <c r="H45">
        <f t="shared" si="4"/>
        <v>-2.9409864926860352</v>
      </c>
      <c r="J45">
        <f t="shared" si="5"/>
        <v>15</v>
      </c>
      <c r="M45">
        <f t="shared" si="6"/>
        <v>0.61336348326360279</v>
      </c>
      <c r="N45">
        <f t="shared" si="7"/>
        <v>-1.5707963250000001</v>
      </c>
      <c r="O45">
        <f t="shared" si="8"/>
        <v>1.9120743598648917</v>
      </c>
      <c r="P45">
        <f t="shared" si="9"/>
        <v>1.02043854580643</v>
      </c>
      <c r="Q45">
        <f t="shared" si="10"/>
        <v>2.4695163835519574</v>
      </c>
      <c r="R45">
        <f t="shared" si="11"/>
        <v>1.1538857594467675</v>
      </c>
      <c r="S45">
        <f t="shared" si="12"/>
        <v>0.97957502896994497</v>
      </c>
      <c r="T45">
        <f t="shared" si="13"/>
        <v>-0.20245929046175046</v>
      </c>
      <c r="U45">
        <f t="shared" si="14"/>
        <v>0.99999980668366895</v>
      </c>
      <c r="V45">
        <f t="shared" si="15"/>
        <v>-6.2179793707670226E-4</v>
      </c>
      <c r="X45">
        <f t="shared" si="34"/>
        <v>19.02182842921852</v>
      </c>
      <c r="Y45">
        <f t="shared" si="16"/>
        <v>-126.67538244464941</v>
      </c>
      <c r="Z45">
        <f t="shared" si="35"/>
        <v>53.324617555350585</v>
      </c>
      <c r="AC45">
        <v>1</v>
      </c>
      <c r="AD45">
        <f t="shared" si="17"/>
        <v>1.629732603114</v>
      </c>
      <c r="AE45">
        <f t="shared" si="18"/>
        <v>-5.6319515641491408E-8</v>
      </c>
      <c r="AF45">
        <f t="shared" si="19"/>
        <v>9.057525769215E-5</v>
      </c>
      <c r="AG45">
        <f t="shared" si="36"/>
        <v>17986.260450579903</v>
      </c>
      <c r="AH45">
        <f t="shared" si="37"/>
        <v>-11051.726519830087</v>
      </c>
      <c r="AJ45">
        <f t="shared" si="20"/>
        <v>18000</v>
      </c>
      <c r="AK45">
        <f t="shared" si="21"/>
        <v>3694.8899475180001</v>
      </c>
      <c r="AL45">
        <v>1</v>
      </c>
      <c r="AM45">
        <f t="shared" si="22"/>
        <v>2.2579883012609998</v>
      </c>
      <c r="AN45">
        <f t="shared" si="38"/>
        <v>4319.5818696604447</v>
      </c>
      <c r="AO45">
        <f t="shared" si="39"/>
        <v>-6058.6753805144017</v>
      </c>
      <c r="AQ45">
        <f t="shared" si="23"/>
        <v>81.967213114754102</v>
      </c>
      <c r="AR45">
        <f t="shared" si="24"/>
        <v>-901.63934426229503</v>
      </c>
      <c r="AT45">
        <f t="shared" si="52"/>
        <v>-8490387.8088156581</v>
      </c>
      <c r="AU45">
        <f t="shared" si="53"/>
        <v>-17122999.301328607</v>
      </c>
      <c r="AV45">
        <f t="shared" si="42"/>
        <v>-2.031116018519695</v>
      </c>
      <c r="AW45">
        <f t="shared" si="25"/>
        <v>-5078170.3537959931</v>
      </c>
      <c r="AX45">
        <f t="shared" si="26"/>
        <v>-4528138.4677138347</v>
      </c>
      <c r="AY45">
        <f t="shared" si="50"/>
        <v>-2.4133894024163123</v>
      </c>
      <c r="BA45">
        <f t="shared" si="27"/>
        <v>2.8090723286044197</v>
      </c>
      <c r="BB45">
        <f t="shared" si="43"/>
        <v>8.9712584330837473</v>
      </c>
      <c r="BC45">
        <f t="shared" si="44"/>
        <v>0.38227338389661725</v>
      </c>
      <c r="BD45">
        <f t="shared" si="28"/>
        <v>-158.09734845751211</v>
      </c>
      <c r="BF45">
        <f t="shared" si="29"/>
        <v>18.935642304254817</v>
      </c>
      <c r="BG45">
        <f t="shared" si="30"/>
        <v>-127.71664775076587</v>
      </c>
      <c r="BH45">
        <f t="shared" si="45"/>
        <v>52.283352249234127</v>
      </c>
      <c r="BI45">
        <f t="shared" si="46"/>
        <v>52.283352249234127</v>
      </c>
      <c r="BJ45">
        <f t="shared" si="31"/>
        <v>0</v>
      </c>
      <c r="BK45">
        <f t="shared" si="47"/>
        <v>0</v>
      </c>
      <c r="BM45">
        <f t="shared" si="48"/>
        <v>9.9643838711710728</v>
      </c>
      <c r="BN45">
        <f t="shared" si="32"/>
        <v>-149.61929929325376</v>
      </c>
      <c r="BQ45" s="66">
        <f t="shared" si="49"/>
        <v>25.873219233368886</v>
      </c>
      <c r="BR45" s="68"/>
      <c r="BS45" s="68"/>
      <c r="BT45" s="68">
        <v>223.87200000000001</v>
      </c>
      <c r="BU45" s="68">
        <v>27.937100000000001</v>
      </c>
      <c r="BV45" s="68">
        <v>-265.19450000000001</v>
      </c>
      <c r="BW45" s="75"/>
      <c r="BY45" s="68"/>
      <c r="BZ45" s="68"/>
      <c r="CA45" s="68"/>
      <c r="CC45" s="68"/>
    </row>
    <row r="46" spans="1:81" x14ac:dyDescent="0.2">
      <c r="A46">
        <f t="shared" si="54"/>
        <v>6000</v>
      </c>
      <c r="B46">
        <f t="shared" si="33"/>
        <v>6</v>
      </c>
      <c r="C46">
        <f t="shared" si="0"/>
        <v>1.0673771916338559</v>
      </c>
      <c r="D46">
        <f t="shared" si="1"/>
        <v>0.35721026908883596</v>
      </c>
      <c r="F46">
        <f t="shared" si="2"/>
        <v>0.1623292561676109</v>
      </c>
      <c r="G46">
        <f t="shared" si="3"/>
        <v>0.17857931024589932</v>
      </c>
      <c r="H46">
        <f t="shared" si="4"/>
        <v>-2.963013339754101</v>
      </c>
      <c r="J46">
        <f t="shared" si="5"/>
        <v>15</v>
      </c>
      <c r="M46">
        <f t="shared" si="6"/>
        <v>0.56224985965830254</v>
      </c>
      <c r="N46">
        <f t="shared" si="7"/>
        <v>-1.5707963250000001</v>
      </c>
      <c r="O46">
        <f t="shared" si="8"/>
        <v>2.0398267701161767</v>
      </c>
      <c r="P46">
        <f t="shared" si="9"/>
        <v>1.0584338655191265</v>
      </c>
      <c r="Q46">
        <f t="shared" si="10"/>
        <v>2.6585051542607396</v>
      </c>
      <c r="R46">
        <f t="shared" si="11"/>
        <v>1.1851573787223471</v>
      </c>
      <c r="S46">
        <f t="shared" si="12"/>
        <v>0.97583229449340281</v>
      </c>
      <c r="T46">
        <f t="shared" si="13"/>
        <v>-0.2202983618820655</v>
      </c>
      <c r="U46">
        <f t="shared" si="14"/>
        <v>0.99999976993760231</v>
      </c>
      <c r="V46">
        <f t="shared" si="15"/>
        <v>-6.7832500564830465E-4</v>
      </c>
      <c r="X46">
        <f t="shared" si="34"/>
        <v>17.76682424286572</v>
      </c>
      <c r="Y46">
        <f t="shared" si="16"/>
        <v>-123.41424051143962</v>
      </c>
      <c r="Z46">
        <f t="shared" si="35"/>
        <v>56.585759488560385</v>
      </c>
      <c r="AC46">
        <v>1</v>
      </c>
      <c r="AD46">
        <f t="shared" si="17"/>
        <v>1.777890112488</v>
      </c>
      <c r="AE46">
        <f t="shared" si="18"/>
        <v>-6.7024878118799706E-8</v>
      </c>
      <c r="AF46">
        <f t="shared" si="19"/>
        <v>9.88093720278E-5</v>
      </c>
      <c r="AG46">
        <f t="shared" si="36"/>
        <v>17986.259128731017</v>
      </c>
      <c r="AH46">
        <f t="shared" si="37"/>
        <v>-10132.698005045791</v>
      </c>
      <c r="AJ46">
        <f t="shared" si="20"/>
        <v>18000</v>
      </c>
      <c r="AK46">
        <f t="shared" si="21"/>
        <v>4030.7890336559994</v>
      </c>
      <c r="AL46">
        <v>1</v>
      </c>
      <c r="AM46">
        <f t="shared" si="22"/>
        <v>2.463259965012</v>
      </c>
      <c r="AN46">
        <f t="shared" si="38"/>
        <v>3951.6504943540126</v>
      </c>
      <c r="AO46">
        <f t="shared" si="39"/>
        <v>-5703.1534248061189</v>
      </c>
      <c r="AQ46">
        <f t="shared" si="23"/>
        <v>68.965517241379317</v>
      </c>
      <c r="AR46">
        <f t="shared" si="24"/>
        <v>-827.58620689655174</v>
      </c>
      <c r="AT46">
        <f t="shared" si="52"/>
        <v>-7145249.4435736882</v>
      </c>
      <c r="AU46">
        <f t="shared" si="53"/>
        <v>-15583986.727573656</v>
      </c>
      <c r="AV46">
        <f t="shared" si="42"/>
        <v>-2.0006958811878741</v>
      </c>
      <c r="AW46">
        <f t="shared" si="25"/>
        <v>-4415235.7286690753</v>
      </c>
      <c r="AX46">
        <f t="shared" si="26"/>
        <v>-3788433.5014883131</v>
      </c>
      <c r="AY46">
        <f t="shared" si="50"/>
        <v>-2.4324514382949949</v>
      </c>
      <c r="BA46">
        <f t="shared" si="27"/>
        <v>2.9468222462660565</v>
      </c>
      <c r="BB46">
        <f t="shared" si="43"/>
        <v>9.3870787957630988</v>
      </c>
      <c r="BC46">
        <f t="shared" si="44"/>
        <v>0.43175555710712077</v>
      </c>
      <c r="BD46">
        <f t="shared" si="28"/>
        <v>-155.26222876817536</v>
      </c>
      <c r="BF46">
        <f t="shared" si="29"/>
        <v>17.683198315092849</v>
      </c>
      <c r="BG46">
        <f t="shared" si="30"/>
        <v>-124.56374713012711</v>
      </c>
      <c r="BH46">
        <f t="shared" si="45"/>
        <v>55.436252869872888</v>
      </c>
      <c r="BI46">
        <f t="shared" si="46"/>
        <v>55.436252869872888</v>
      </c>
      <c r="BJ46">
        <f t="shared" si="31"/>
        <v>0</v>
      </c>
      <c r="BK46">
        <f t="shared" si="47"/>
        <v>0</v>
      </c>
      <c r="BM46">
        <f t="shared" si="48"/>
        <v>8.2961195193297499</v>
      </c>
      <c r="BN46">
        <f t="shared" si="32"/>
        <v>-149.30151836195174</v>
      </c>
      <c r="BQ46" s="66">
        <f t="shared" si="49"/>
        <v>26.289039596048237</v>
      </c>
      <c r="BR46" s="68"/>
      <c r="BS46" s="68"/>
      <c r="BT46" s="68">
        <v>229.08699999999999</v>
      </c>
      <c r="BU46" s="68">
        <v>27.676300000000001</v>
      </c>
      <c r="BV46" s="68">
        <v>-266.75440000000003</v>
      </c>
      <c r="BW46" s="75"/>
      <c r="BY46" s="68"/>
      <c r="BZ46" s="68"/>
      <c r="CA46" s="68"/>
      <c r="CC46" s="68"/>
    </row>
    <row r="47" spans="1:81" x14ac:dyDescent="0.2">
      <c r="A47">
        <f t="shared" si="54"/>
        <v>6500</v>
      </c>
      <c r="B47">
        <f t="shared" si="33"/>
        <v>6.5</v>
      </c>
      <c r="C47">
        <f t="shared" si="0"/>
        <v>1.0786459416085894</v>
      </c>
      <c r="D47">
        <f t="shared" si="1"/>
        <v>0.38422751465490701</v>
      </c>
      <c r="F47">
        <f t="shared" si="2"/>
        <v>0.1353970771857203</v>
      </c>
      <c r="G47">
        <f t="shared" si="3"/>
        <v>0.16120466026777083</v>
      </c>
      <c r="H47">
        <f t="shared" si="4"/>
        <v>-2.9803879897322294</v>
      </c>
      <c r="J47">
        <f t="shared" si="5"/>
        <v>15</v>
      </c>
      <c r="M47">
        <f t="shared" si="6"/>
        <v>0.51899987045381779</v>
      </c>
      <c r="N47">
        <f t="shared" si="7"/>
        <v>-1.5707963250000001</v>
      </c>
      <c r="O47">
        <f t="shared" si="8"/>
        <v>2.1701749795074741</v>
      </c>
      <c r="P47">
        <f t="shared" si="9"/>
        <v>1.0919085691800716</v>
      </c>
      <c r="Q47">
        <f t="shared" si="10"/>
        <v>2.8497475421006171</v>
      </c>
      <c r="R47">
        <f t="shared" si="11"/>
        <v>1.2122554424635295</v>
      </c>
      <c r="S47">
        <f t="shared" si="12"/>
        <v>0.97181236778506119</v>
      </c>
      <c r="T47">
        <f t="shared" si="13"/>
        <v>-0.23799605241747807</v>
      </c>
      <c r="U47">
        <f t="shared" si="14"/>
        <v>0.99999972999622988</v>
      </c>
      <c r="V47">
        <f t="shared" si="15"/>
        <v>-7.3485206988499019E-4</v>
      </c>
      <c r="X47">
        <f t="shared" si="34"/>
        <v>16.692603120438761</v>
      </c>
      <c r="Y47">
        <f t="shared" si="16"/>
        <v>-120.40843828871166</v>
      </c>
      <c r="Z47">
        <f t="shared" si="35"/>
        <v>59.591561711288335</v>
      </c>
      <c r="AC47">
        <v>1</v>
      </c>
      <c r="AD47">
        <f t="shared" si="17"/>
        <v>1.9260476218620004</v>
      </c>
      <c r="AE47">
        <f t="shared" si="18"/>
        <v>-7.8661141681091319E-8</v>
      </c>
      <c r="AF47">
        <f t="shared" si="19"/>
        <v>1.0704348636345E-4</v>
      </c>
      <c r="AG47">
        <f t="shared" si="36"/>
        <v>17986.257691938976</v>
      </c>
      <c r="AH47">
        <f t="shared" si="37"/>
        <v>-9355.2149092422624</v>
      </c>
      <c r="AJ47">
        <f t="shared" si="20"/>
        <v>18000</v>
      </c>
      <c r="AK47">
        <f t="shared" si="21"/>
        <v>4366.6881197939992</v>
      </c>
      <c r="AL47">
        <v>1</v>
      </c>
      <c r="AM47">
        <f t="shared" si="22"/>
        <v>2.6685316287630001</v>
      </c>
      <c r="AN47">
        <f t="shared" si="38"/>
        <v>3651.3264910221242</v>
      </c>
      <c r="AO47">
        <f t="shared" si="39"/>
        <v>-5376.9921084387588</v>
      </c>
      <c r="AQ47">
        <f t="shared" si="23"/>
        <v>58.823529411764703</v>
      </c>
      <c r="AR47">
        <f t="shared" si="24"/>
        <v>-764.70588235294122</v>
      </c>
      <c r="AT47">
        <f t="shared" si="52"/>
        <v>-6095972.7134241443</v>
      </c>
      <c r="AU47">
        <f t="shared" si="53"/>
        <v>-14304503.817908762</v>
      </c>
      <c r="AV47">
        <f t="shared" si="42"/>
        <v>-1.9736470452098285</v>
      </c>
      <c r="AW47">
        <f t="shared" si="25"/>
        <v>-3863654.429345503</v>
      </c>
      <c r="AX47">
        <f t="shared" si="26"/>
        <v>-3223187.540327487</v>
      </c>
      <c r="AY47">
        <f t="shared" si="50"/>
        <v>-2.446323735495282</v>
      </c>
      <c r="BA47">
        <f t="shared" si="27"/>
        <v>3.0903369644045493</v>
      </c>
      <c r="BB47">
        <f t="shared" si="43"/>
        <v>9.8001167328513219</v>
      </c>
      <c r="BC47">
        <f t="shared" si="44"/>
        <v>0.47267669028545356</v>
      </c>
      <c r="BD47">
        <f t="shared" si="28"/>
        <v>-152.91762054148501</v>
      </c>
      <c r="BF47">
        <f t="shared" si="29"/>
        <v>16.611705976521172</v>
      </c>
      <c r="BG47">
        <f t="shared" si="30"/>
        <v>-121.6666588720649</v>
      </c>
      <c r="BH47">
        <f t="shared" si="45"/>
        <v>58.3333411279351</v>
      </c>
      <c r="BI47">
        <f t="shared" si="46"/>
        <v>58.3333411279351</v>
      </c>
      <c r="BJ47">
        <f t="shared" si="31"/>
        <v>0</v>
      </c>
      <c r="BK47">
        <f t="shared" si="47"/>
        <v>0</v>
      </c>
      <c r="BM47">
        <f t="shared" si="48"/>
        <v>6.8115892436698502</v>
      </c>
      <c r="BN47">
        <f t="shared" si="32"/>
        <v>-148.74903833057988</v>
      </c>
      <c r="BQ47" s="66">
        <f t="shared" si="49"/>
        <v>26.702077533136457</v>
      </c>
      <c r="BR47" s="68"/>
      <c r="BS47" s="68"/>
      <c r="BT47" s="68">
        <v>234.423</v>
      </c>
      <c r="BU47" s="68">
        <v>27.670300000000001</v>
      </c>
      <c r="BV47" s="68">
        <v>-266.76120000000003</v>
      </c>
      <c r="BW47" s="75"/>
      <c r="BY47" s="68"/>
      <c r="BZ47" s="68"/>
      <c r="CA47" s="68"/>
      <c r="CC47" s="68"/>
    </row>
    <row r="48" spans="1:81" x14ac:dyDescent="0.2">
      <c r="A48">
        <f t="shared" si="54"/>
        <v>7000</v>
      </c>
      <c r="B48">
        <f t="shared" si="33"/>
        <v>7</v>
      </c>
      <c r="C48">
        <f t="shared" si="0"/>
        <v>1.0906854291350296</v>
      </c>
      <c r="D48">
        <f t="shared" si="1"/>
        <v>0.41066725845668545</v>
      </c>
      <c r="F48">
        <f t="shared" si="2"/>
        <v>0.11481350645523498</v>
      </c>
      <c r="G48">
        <f t="shared" si="3"/>
        <v>0.14710615375142341</v>
      </c>
      <c r="H48">
        <f t="shared" si="4"/>
        <v>-2.9944864962485767</v>
      </c>
      <c r="J48">
        <f t="shared" si="5"/>
        <v>15</v>
      </c>
      <c r="M48">
        <f t="shared" si="6"/>
        <v>0.48192845113568794</v>
      </c>
      <c r="N48">
        <f t="shared" si="7"/>
        <v>-1.5707963250000001</v>
      </c>
      <c r="O48">
        <f t="shared" si="8"/>
        <v>2.3026782073155063</v>
      </c>
      <c r="P48">
        <f t="shared" si="9"/>
        <v>1.1215609323648812</v>
      </c>
      <c r="Q48">
        <f t="shared" si="10"/>
        <v>3.0428186544821085</v>
      </c>
      <c r="R48">
        <f t="shared" si="11"/>
        <v>1.2359302858886116</v>
      </c>
      <c r="S48">
        <f t="shared" si="12"/>
        <v>0.96752616168063521</v>
      </c>
      <c r="T48">
        <f t="shared" si="13"/>
        <v>-0.25554308743297821</v>
      </c>
      <c r="U48">
        <f t="shared" si="14"/>
        <v>0.99999968685955298</v>
      </c>
      <c r="V48">
        <f t="shared" si="15"/>
        <v>-7.9137912942551635E-4</v>
      </c>
      <c r="X48">
        <f t="shared" si="34"/>
        <v>15.758764381397775</v>
      </c>
      <c r="Y48">
        <f t="shared" si="16"/>
        <v>-117.6545234144676</v>
      </c>
      <c r="Z48">
        <f t="shared" si="35"/>
        <v>62.345476585532396</v>
      </c>
      <c r="AC48">
        <v>1</v>
      </c>
      <c r="AD48">
        <f t="shared" si="17"/>
        <v>2.0742051312360004</v>
      </c>
      <c r="AE48">
        <f t="shared" si="18"/>
        <v>-9.1228306328366258E-8</v>
      </c>
      <c r="AF48">
        <f t="shared" si="19"/>
        <v>1.152776006991E-4</v>
      </c>
      <c r="AG48">
        <f t="shared" si="36"/>
        <v>17986.256140203819</v>
      </c>
      <c r="AH48">
        <f t="shared" si="37"/>
        <v>-8688.9460711397242</v>
      </c>
      <c r="AJ48">
        <f t="shared" si="20"/>
        <v>18000</v>
      </c>
      <c r="AK48">
        <f t="shared" si="21"/>
        <v>4702.587205932</v>
      </c>
      <c r="AL48">
        <v>1</v>
      </c>
      <c r="AM48">
        <f t="shared" si="22"/>
        <v>2.8738032925139998</v>
      </c>
      <c r="AN48">
        <f t="shared" si="38"/>
        <v>3403.734453920415</v>
      </c>
      <c r="AO48">
        <f t="shared" si="39"/>
        <v>-5079.0760745878297</v>
      </c>
      <c r="AQ48">
        <f t="shared" si="23"/>
        <v>50.761421319796952</v>
      </c>
      <c r="AR48">
        <f t="shared" si="24"/>
        <v>-710.65989847715741</v>
      </c>
      <c r="AT48">
        <f t="shared" si="52"/>
        <v>-5261877.6068909811</v>
      </c>
      <c r="AU48">
        <f t="shared" si="53"/>
        <v>-13223174.214923514</v>
      </c>
      <c r="AV48">
        <f t="shared" si="42"/>
        <v>-1.9495156355690471</v>
      </c>
      <c r="AW48">
        <f t="shared" si="25"/>
        <v>-3402273.4900735356</v>
      </c>
      <c r="AX48">
        <f t="shared" si="26"/>
        <v>-2782862.6069120239</v>
      </c>
      <c r="AY48">
        <f t="shared" si="50"/>
        <v>-2.4560067736056439</v>
      </c>
      <c r="BA48">
        <f t="shared" si="27"/>
        <v>3.2378287965451213</v>
      </c>
      <c r="BB48">
        <f t="shared" si="43"/>
        <v>10.205077625336356</v>
      </c>
      <c r="BC48">
        <f t="shared" si="44"/>
        <v>0.50649113803659684</v>
      </c>
      <c r="BD48">
        <f t="shared" si="28"/>
        <v>-150.98019539656505</v>
      </c>
      <c r="BF48">
        <f t="shared" si="29"/>
        <v>15.680752645806809</v>
      </c>
      <c r="BG48">
        <f t="shared" si="30"/>
        <v>-119.02213291591222</v>
      </c>
      <c r="BH48">
        <f t="shared" si="45"/>
        <v>60.977867084087777</v>
      </c>
      <c r="BI48">
        <f t="shared" si="46"/>
        <v>60.977867084087777</v>
      </c>
      <c r="BJ48">
        <f t="shared" si="31"/>
        <v>0</v>
      </c>
      <c r="BK48">
        <f t="shared" si="47"/>
        <v>0</v>
      </c>
      <c r="BM48">
        <f t="shared" si="48"/>
        <v>5.4756750204704545</v>
      </c>
      <c r="BN48">
        <f t="shared" si="32"/>
        <v>-148.04193751934719</v>
      </c>
      <c r="BQ48" s="66">
        <f t="shared" si="49"/>
        <v>27.107038425621496</v>
      </c>
      <c r="BR48" s="68"/>
      <c r="BS48" s="68"/>
      <c r="BT48" s="68">
        <v>239.88300000000001</v>
      </c>
      <c r="BU48" s="68">
        <v>27.2761</v>
      </c>
      <c r="BV48" s="68">
        <v>-267.59569999999997</v>
      </c>
      <c r="BW48" s="75"/>
      <c r="BY48" s="68"/>
      <c r="BZ48" s="68"/>
      <c r="CA48" s="68"/>
      <c r="CC48" s="68"/>
    </row>
    <row r="49" spans="1:81" x14ac:dyDescent="0.2">
      <c r="A49">
        <f t="shared" si="54"/>
        <v>7500</v>
      </c>
      <c r="B49">
        <f t="shared" si="33"/>
        <v>7.5</v>
      </c>
      <c r="C49">
        <f t="shared" si="0"/>
        <v>1.1034704269515005</v>
      </c>
      <c r="D49">
        <f t="shared" si="1"/>
        <v>0.43651206026751849</v>
      </c>
      <c r="F49">
        <f t="shared" si="2"/>
        <v>9.8692892019857245E-2</v>
      </c>
      <c r="G49">
        <f t="shared" si="3"/>
        <v>0.13540897234245353</v>
      </c>
      <c r="H49">
        <f t="shared" si="4"/>
        <v>-3.0061836776575466</v>
      </c>
      <c r="J49">
        <f t="shared" si="5"/>
        <v>15</v>
      </c>
      <c r="M49">
        <f t="shared" si="6"/>
        <v>0.44979988772664203</v>
      </c>
      <c r="N49">
        <f t="shared" si="7"/>
        <v>-1.5707963250000001</v>
      </c>
      <c r="O49">
        <f t="shared" si="8"/>
        <v>2.4369849622800408</v>
      </c>
      <c r="P49">
        <f t="shared" si="9"/>
        <v>1.1479660457591923</v>
      </c>
      <c r="Q49">
        <f t="shared" si="10"/>
        <v>3.2373913242452343</v>
      </c>
      <c r="R49">
        <f t="shared" si="11"/>
        <v>1.2567698758235613</v>
      </c>
      <c r="S49">
        <f t="shared" si="12"/>
        <v>0.96298504330005308</v>
      </c>
      <c r="T49">
        <f t="shared" si="13"/>
        <v>-0.27293072022222775</v>
      </c>
      <c r="U49">
        <f t="shared" si="14"/>
        <v>0.99999964052757306</v>
      </c>
      <c r="V49">
        <f t="shared" si="15"/>
        <v>-8.4790618390864119E-4</v>
      </c>
      <c r="X49">
        <f t="shared" si="34"/>
        <v>14.936492186305149</v>
      </c>
      <c r="Y49">
        <f t="shared" si="16"/>
        <v>-115.13647910349358</v>
      </c>
      <c r="Z49">
        <f t="shared" si="35"/>
        <v>64.863520896506415</v>
      </c>
      <c r="AC49">
        <v>1</v>
      </c>
      <c r="AD49">
        <f t="shared" si="17"/>
        <v>2.2223626406100001</v>
      </c>
      <c r="AE49">
        <f t="shared" si="18"/>
        <v>-1.0472637206062451E-7</v>
      </c>
      <c r="AF49">
        <f t="shared" si="19"/>
        <v>1.2351171503475E-4</v>
      </c>
      <c r="AG49">
        <f t="shared" si="36"/>
        <v>17986.25447352562</v>
      </c>
      <c r="AH49">
        <f t="shared" si="37"/>
        <v>-8111.6486391278086</v>
      </c>
      <c r="AJ49">
        <f t="shared" si="20"/>
        <v>18000</v>
      </c>
      <c r="AK49">
        <f t="shared" si="21"/>
        <v>5038.4862920699998</v>
      </c>
      <c r="AL49">
        <v>1</v>
      </c>
      <c r="AM49">
        <f t="shared" si="22"/>
        <v>3.0790749562649999</v>
      </c>
      <c r="AN49">
        <f t="shared" si="38"/>
        <v>3197.6746485689591</v>
      </c>
      <c r="AO49">
        <f t="shared" si="39"/>
        <v>-4807.3936366221678</v>
      </c>
      <c r="AQ49">
        <f t="shared" si="23"/>
        <v>44.247787610619469</v>
      </c>
      <c r="AR49">
        <f t="shared" si="24"/>
        <v>-663.71681415929208</v>
      </c>
      <c r="AT49">
        <f t="shared" si="52"/>
        <v>-4587985.6244863495</v>
      </c>
      <c r="AU49">
        <f t="shared" si="53"/>
        <v>-12296702.023982838</v>
      </c>
      <c r="AV49">
        <f t="shared" si="42"/>
        <v>-1.9279063502386855</v>
      </c>
      <c r="AW49">
        <f t="shared" si="25"/>
        <v>-3013928.1060243146</v>
      </c>
      <c r="AX49">
        <f t="shared" si="26"/>
        <v>-2433851.2555896253</v>
      </c>
      <c r="AY49">
        <f t="shared" si="50"/>
        <v>-2.4622742934134823</v>
      </c>
      <c r="BA49">
        <f t="shared" si="27"/>
        <v>3.3879552947139882</v>
      </c>
      <c r="BB49">
        <f t="shared" si="43"/>
        <v>10.598753420498522</v>
      </c>
      <c r="BC49">
        <f t="shared" si="44"/>
        <v>0.53436794317479674</v>
      </c>
      <c r="BD49">
        <f t="shared" si="28"/>
        <v>-149.38297211401249</v>
      </c>
      <c r="BF49">
        <f t="shared" si="29"/>
        <v>14.86151008027605</v>
      </c>
      <c r="BG49">
        <f t="shared" si="30"/>
        <v>-116.61431069325349</v>
      </c>
      <c r="BH49">
        <f t="shared" si="45"/>
        <v>63.385689306746514</v>
      </c>
      <c r="BI49">
        <f t="shared" si="46"/>
        <v>63.385689306746514</v>
      </c>
      <c r="BJ49">
        <f t="shared" si="31"/>
        <v>0</v>
      </c>
      <c r="BK49">
        <f t="shared" si="47"/>
        <v>0</v>
      </c>
      <c r="BM49">
        <f t="shared" si="48"/>
        <v>4.2627566597775255</v>
      </c>
      <c r="BN49">
        <f t="shared" si="32"/>
        <v>-147.23133857924103</v>
      </c>
      <c r="BQ49" s="66">
        <f t="shared" si="49"/>
        <v>27.500714220783657</v>
      </c>
      <c r="BR49" s="68"/>
      <c r="BS49" s="68"/>
      <c r="BT49" s="68">
        <v>245.471</v>
      </c>
      <c r="BU49" s="68">
        <v>27.075500000000002</v>
      </c>
      <c r="BV49" s="68">
        <v>-266.80959999999999</v>
      </c>
      <c r="BW49" s="75"/>
      <c r="BY49" s="68"/>
      <c r="BZ49" s="68"/>
      <c r="CA49" s="68"/>
      <c r="CC49" s="68"/>
    </row>
    <row r="50" spans="1:81" x14ac:dyDescent="0.2">
      <c r="A50">
        <f t="shared" si="54"/>
        <v>8000</v>
      </c>
      <c r="B50">
        <f t="shared" si="33"/>
        <v>8</v>
      </c>
      <c r="C50">
        <f t="shared" si="0"/>
        <v>1.1169753358225376</v>
      </c>
      <c r="D50">
        <f t="shared" si="1"/>
        <v>0.46174843015861505</v>
      </c>
      <c r="F50">
        <f t="shared" si="2"/>
        <v>8.5810549266824396E-2</v>
      </c>
      <c r="G50">
        <f t="shared" si="3"/>
        <v>0.12552902454086562</v>
      </c>
      <c r="H50">
        <f t="shared" si="4"/>
        <v>-3.0160636254591346</v>
      </c>
      <c r="J50">
        <f t="shared" si="5"/>
        <v>15</v>
      </c>
      <c r="M50">
        <f t="shared" si="6"/>
        <v>0.42168739474372685</v>
      </c>
      <c r="N50">
        <f t="shared" si="7"/>
        <v>-1.5707963250000001</v>
      </c>
      <c r="O50">
        <f t="shared" si="8"/>
        <v>2.5728128150878304</v>
      </c>
      <c r="P50">
        <f t="shared" si="9"/>
        <v>1.1715981859204887</v>
      </c>
      <c r="Q50">
        <f t="shared" si="10"/>
        <v>3.4332102645207336</v>
      </c>
      <c r="R50">
        <f t="shared" si="11"/>
        <v>1.2752395014871043</v>
      </c>
      <c r="S50">
        <f t="shared" si="12"/>
        <v>0.95820075806653338</v>
      </c>
      <c r="T50">
        <f t="shared" si="13"/>
        <v>-0.29015074741373093</v>
      </c>
      <c r="U50">
        <f t="shared" si="14"/>
        <v>0.99999959100029157</v>
      </c>
      <c r="V50">
        <f t="shared" si="15"/>
        <v>-9.0443323297312252E-4</v>
      </c>
      <c r="X50">
        <f t="shared" si="34"/>
        <v>14.204621370916929</v>
      </c>
      <c r="Y50">
        <f t="shared" si="16"/>
        <v>-112.8342410774145</v>
      </c>
      <c r="Z50">
        <f t="shared" si="35"/>
        <v>67.165758922585496</v>
      </c>
      <c r="AC50">
        <v>1</v>
      </c>
      <c r="AD50">
        <f t="shared" si="17"/>
        <v>2.3705201499840003</v>
      </c>
      <c r="AE50">
        <f t="shared" si="18"/>
        <v>-1.1915533887786612E-7</v>
      </c>
      <c r="AF50">
        <f t="shared" si="19"/>
        <v>1.317458293704E-4</v>
      </c>
      <c r="AG50">
        <f t="shared" si="36"/>
        <v>17986.252691904439</v>
      </c>
      <c r="AH50">
        <f t="shared" si="37"/>
        <v>-7606.6404744938618</v>
      </c>
      <c r="AJ50">
        <f t="shared" si="20"/>
        <v>18000</v>
      </c>
      <c r="AK50">
        <f t="shared" si="21"/>
        <v>5374.3853782079996</v>
      </c>
      <c r="AL50">
        <v>1</v>
      </c>
      <c r="AM50">
        <f t="shared" si="22"/>
        <v>3.2843466200160001</v>
      </c>
      <c r="AN50">
        <f t="shared" si="38"/>
        <v>3024.6498641539001</v>
      </c>
      <c r="AO50">
        <f t="shared" si="39"/>
        <v>-4559.6131798577171</v>
      </c>
      <c r="AQ50">
        <f t="shared" si="23"/>
        <v>38.910505836575872</v>
      </c>
      <c r="AR50">
        <f t="shared" si="24"/>
        <v>-622.56809338521396</v>
      </c>
      <c r="AT50">
        <f t="shared" si="52"/>
        <v>-4035797.466925967</v>
      </c>
      <c r="AU50">
        <f t="shared" si="53"/>
        <v>-11493645.274123147</v>
      </c>
      <c r="AV50">
        <f t="shared" si="42"/>
        <v>-1.90848009090632</v>
      </c>
      <c r="AW50">
        <f t="shared" si="25"/>
        <v>-2684905.1693348563</v>
      </c>
      <c r="AX50">
        <f t="shared" si="26"/>
        <v>-2152855.522429564</v>
      </c>
      <c r="AY50">
        <f t="shared" si="50"/>
        <v>-2.4657327704162451</v>
      </c>
      <c r="BA50">
        <f t="shared" si="27"/>
        <v>3.5396840105717806</v>
      </c>
      <c r="BB50">
        <f t="shared" si="43"/>
        <v>10.979289881248864</v>
      </c>
      <c r="BC50">
        <f t="shared" si="44"/>
        <v>0.55725267950992508</v>
      </c>
      <c r="BD50">
        <f t="shared" si="28"/>
        <v>-148.07177330524169</v>
      </c>
      <c r="BF50">
        <f t="shared" si="29"/>
        <v>14.132800369090848</v>
      </c>
      <c r="BG50">
        <f t="shared" si="30"/>
        <v>-114.42325370932701</v>
      </c>
      <c r="BH50">
        <f t="shared" si="45"/>
        <v>65.576746290672986</v>
      </c>
      <c r="BI50">
        <f t="shared" si="46"/>
        <v>65.576746290672986</v>
      </c>
      <c r="BJ50">
        <f t="shared" si="31"/>
        <v>0</v>
      </c>
      <c r="BK50">
        <f t="shared" si="47"/>
        <v>0</v>
      </c>
      <c r="BM50">
        <f t="shared" si="48"/>
        <v>3.1535104878419835</v>
      </c>
      <c r="BN50">
        <f t="shared" si="32"/>
        <v>-146.35148040408535</v>
      </c>
      <c r="BQ50" s="66">
        <f t="shared" si="49"/>
        <v>27.881250681534002</v>
      </c>
      <c r="BR50" s="68"/>
      <c r="BS50" s="68"/>
      <c r="BT50" s="68">
        <v>251.18899999999999</v>
      </c>
      <c r="BU50" s="68">
        <v>27.043399999999998</v>
      </c>
      <c r="BV50" s="68">
        <v>-265.9205</v>
      </c>
      <c r="BW50" s="75"/>
      <c r="BY50" s="68"/>
      <c r="BZ50" s="68"/>
      <c r="CA50" s="68"/>
      <c r="CC50" s="68"/>
    </row>
    <row r="51" spans="1:81" x14ac:dyDescent="0.2">
      <c r="A51">
        <f t="shared" si="54"/>
        <v>8500</v>
      </c>
      <c r="B51">
        <f t="shared" si="33"/>
        <v>8.5</v>
      </c>
      <c r="C51">
        <f t="shared" si="0"/>
        <v>1.1311743713351601</v>
      </c>
      <c r="D51">
        <f t="shared" si="1"/>
        <v>0.48636660178167812</v>
      </c>
      <c r="F51">
        <f t="shared" si="2"/>
        <v>7.5340240150364807E-2</v>
      </c>
      <c r="G51">
        <f t="shared" si="3"/>
        <v>0.11706055129265645</v>
      </c>
      <c r="H51">
        <f t="shared" si="4"/>
        <v>-3.0245320987073439</v>
      </c>
      <c r="J51">
        <f t="shared" si="5"/>
        <v>15</v>
      </c>
      <c r="M51">
        <f t="shared" si="6"/>
        <v>0.39688225387644888</v>
      </c>
      <c r="N51">
        <f t="shared" si="7"/>
        <v>-1.5707963250000001</v>
      </c>
      <c r="O51">
        <f t="shared" si="8"/>
        <v>2.7099330530013277</v>
      </c>
      <c r="P51">
        <f t="shared" si="9"/>
        <v>1.1928496867613432</v>
      </c>
      <c r="Q51">
        <f t="shared" si="10"/>
        <v>3.6300737962748006</v>
      </c>
      <c r="R51">
        <f t="shared" si="11"/>
        <v>1.2917109875952406</v>
      </c>
      <c r="S51">
        <f t="shared" si="12"/>
        <v>0.95318535443695662</v>
      </c>
      <c r="T51">
        <f t="shared" si="13"/>
        <v>-0.3071955202356183</v>
      </c>
      <c r="U51">
        <f t="shared" si="14"/>
        <v>0.99999953827770938</v>
      </c>
      <c r="V51">
        <f t="shared" si="15"/>
        <v>-9.609602762577187E-4</v>
      </c>
      <c r="X51">
        <f t="shared" si="34"/>
        <v>13.547213457459966</v>
      </c>
      <c r="Y51">
        <f t="shared" si="16"/>
        <v>-110.72739588137642</v>
      </c>
      <c r="Z51">
        <f t="shared" si="35"/>
        <v>69.272604118623576</v>
      </c>
      <c r="AC51">
        <v>1</v>
      </c>
      <c r="AD51">
        <f t="shared" si="17"/>
        <v>2.518677659358</v>
      </c>
      <c r="AE51">
        <f t="shared" si="18"/>
        <v>-1.3451520678009108E-7</v>
      </c>
      <c r="AF51">
        <f t="shared" si="19"/>
        <v>1.3997994370605E-4</v>
      </c>
      <c r="AG51">
        <f t="shared" si="36"/>
        <v>17986.250795340344</v>
      </c>
      <c r="AH51">
        <f t="shared" si="37"/>
        <v>-7161.1646476295073</v>
      </c>
      <c r="AJ51">
        <f t="shared" si="20"/>
        <v>18000</v>
      </c>
      <c r="AK51">
        <f t="shared" si="21"/>
        <v>5710.2844643460003</v>
      </c>
      <c r="AL51">
        <v>1</v>
      </c>
      <c r="AM51">
        <f t="shared" si="22"/>
        <v>3.4896182837669998</v>
      </c>
      <c r="AN51">
        <f t="shared" si="38"/>
        <v>2878.1557918116187</v>
      </c>
      <c r="AO51">
        <f t="shared" si="39"/>
        <v>-4333.3806102897124</v>
      </c>
      <c r="AQ51">
        <f t="shared" si="23"/>
        <v>34.482758620689658</v>
      </c>
      <c r="AR51">
        <f t="shared" si="24"/>
        <v>-586.20689655172418</v>
      </c>
      <c r="AT51">
        <f t="shared" si="52"/>
        <v>-3577708.5591159062</v>
      </c>
      <c r="AU51">
        <f t="shared" si="53"/>
        <v>-10790600.971324667</v>
      </c>
      <c r="AV51">
        <f t="shared" si="42"/>
        <v>-1.8909481043889849</v>
      </c>
      <c r="AW51">
        <f t="shared" si="25"/>
        <v>-2404307.0675957915</v>
      </c>
      <c r="AX51">
        <f t="shared" si="26"/>
        <v>-1923399.1816355768</v>
      </c>
      <c r="AY51">
        <f t="shared" si="50"/>
        <v>-2.4668634973489318</v>
      </c>
      <c r="BA51">
        <f t="shared" si="27"/>
        <v>3.6922048275367674</v>
      </c>
      <c r="BB51">
        <f t="shared" si="43"/>
        <v>11.345715715991261</v>
      </c>
      <c r="BC51">
        <f t="shared" si="44"/>
        <v>0.57591539295994698</v>
      </c>
      <c r="BD51">
        <f t="shared" si="28"/>
        <v>-147.00247858907156</v>
      </c>
      <c r="BF51">
        <f t="shared" si="29"/>
        <v>13.478672038947344</v>
      </c>
      <c r="BG51">
        <f t="shared" si="30"/>
        <v>-112.42864943481113</v>
      </c>
      <c r="BH51">
        <f t="shared" si="45"/>
        <v>67.571350565188865</v>
      </c>
      <c r="BI51">
        <f t="shared" si="46"/>
        <v>67.571350565188865</v>
      </c>
      <c r="BJ51">
        <f t="shared" si="31"/>
        <v>0</v>
      </c>
      <c r="BK51">
        <f t="shared" si="47"/>
        <v>0</v>
      </c>
      <c r="BM51">
        <f t="shared" si="48"/>
        <v>2.1329563229560824</v>
      </c>
      <c r="BN51">
        <f t="shared" si="32"/>
        <v>-145.42617084573959</v>
      </c>
      <c r="BQ51" s="66">
        <f t="shared" si="49"/>
        <v>28.2476765162764</v>
      </c>
      <c r="BR51" s="68"/>
      <c r="BS51" s="68"/>
      <c r="BT51" s="68">
        <v>257.04000000000002</v>
      </c>
      <c r="BU51" s="68">
        <v>26.677600000000002</v>
      </c>
      <c r="BV51" s="68">
        <v>-267.60309999999998</v>
      </c>
      <c r="BW51" s="75"/>
      <c r="BY51" s="68"/>
      <c r="BZ51" s="68"/>
      <c r="CA51" s="68"/>
      <c r="CC51" s="68"/>
    </row>
    <row r="52" spans="1:81" x14ac:dyDescent="0.2">
      <c r="A52">
        <f t="shared" si="54"/>
        <v>9000</v>
      </c>
      <c r="B52">
        <f t="shared" si="33"/>
        <v>9</v>
      </c>
      <c r="C52">
        <f t="shared" si="0"/>
        <v>1.1460417338585007</v>
      </c>
      <c r="D52">
        <f t="shared" si="1"/>
        <v>0.51036027545719953</v>
      </c>
      <c r="F52">
        <f t="shared" si="2"/>
        <v>6.6706618091314063E-2</v>
      </c>
      <c r="G52">
        <f t="shared" si="3"/>
        <v>0.10971230803241305</v>
      </c>
      <c r="H52">
        <f t="shared" si="4"/>
        <v>-3.0318803419675873</v>
      </c>
      <c r="J52">
        <f t="shared" si="5"/>
        <v>15</v>
      </c>
      <c r="M52">
        <f t="shared" si="6"/>
        <v>0.37483323977220168</v>
      </c>
      <c r="N52">
        <f t="shared" si="7"/>
        <v>-1.5707963250000001</v>
      </c>
      <c r="O52">
        <f t="shared" si="8"/>
        <v>2.8481590224539493</v>
      </c>
      <c r="P52">
        <f t="shared" si="9"/>
        <v>1.2120464296007687</v>
      </c>
      <c r="Q52">
        <f t="shared" si="10"/>
        <v>3.8278207539368365</v>
      </c>
      <c r="R52">
        <f t="shared" si="11"/>
        <v>1.3064842956270759</v>
      </c>
      <c r="S52">
        <f t="shared" si="12"/>
        <v>0.94795111015165168</v>
      </c>
      <c r="T52">
        <f t="shared" si="13"/>
        <v>-0.32405795175938035</v>
      </c>
      <c r="U52">
        <f t="shared" si="14"/>
        <v>0.99999948235982805</v>
      </c>
      <c r="V52">
        <f t="shared" si="15"/>
        <v>-1.0174873134011881E-3</v>
      </c>
      <c r="X52">
        <f t="shared" si="34"/>
        <v>12.95200506534691</v>
      </c>
      <c r="Y52">
        <f t="shared" si="16"/>
        <v>-108.79672734272486</v>
      </c>
      <c r="Z52">
        <f t="shared" si="35"/>
        <v>71.203272657275136</v>
      </c>
      <c r="AC52">
        <v>1</v>
      </c>
      <c r="AD52">
        <f t="shared" si="17"/>
        <v>2.6668351687320002</v>
      </c>
      <c r="AE52">
        <f t="shared" si="18"/>
        <v>-1.5080597576729932E-7</v>
      </c>
      <c r="AF52">
        <f t="shared" si="19"/>
        <v>1.482140580417E-4</v>
      </c>
      <c r="AG52">
        <f t="shared" si="36"/>
        <v>17986.248783833402</v>
      </c>
      <c r="AH52">
        <f t="shared" si="37"/>
        <v>-6765.2991021683411</v>
      </c>
      <c r="AJ52">
        <f t="shared" si="20"/>
        <v>18000</v>
      </c>
      <c r="AK52">
        <f t="shared" si="21"/>
        <v>6046.1835504839992</v>
      </c>
      <c r="AL52">
        <v>1</v>
      </c>
      <c r="AM52">
        <f t="shared" si="22"/>
        <v>3.6948899475179999</v>
      </c>
      <c r="AN52">
        <f t="shared" si="38"/>
        <v>2753.1667969767223</v>
      </c>
      <c r="AO52">
        <f t="shared" si="39"/>
        <v>-4126.4647715056208</v>
      </c>
      <c r="AQ52">
        <f t="shared" si="23"/>
        <v>30.76923076923077</v>
      </c>
      <c r="AR52">
        <f t="shared" si="24"/>
        <v>-553.84615384615381</v>
      </c>
      <c r="AT52">
        <f t="shared" si="52"/>
        <v>-3193511.8478522073</v>
      </c>
      <c r="AU52">
        <f t="shared" si="53"/>
        <v>-10169777.760343678</v>
      </c>
      <c r="AV52">
        <f t="shared" si="42"/>
        <v>-1.8750652060567088</v>
      </c>
      <c r="AW52">
        <f t="shared" si="25"/>
        <v>-2163472.5886921301</v>
      </c>
      <c r="AX52">
        <f t="shared" si="26"/>
        <v>-1733614.4887038791</v>
      </c>
      <c r="AY52">
        <f t="shared" si="50"/>
        <v>-2.4660528025773969</v>
      </c>
      <c r="BA52">
        <f t="shared" si="27"/>
        <v>3.8448713466922331</v>
      </c>
      <c r="BB52">
        <f t="shared" si="43"/>
        <v>11.69763624890545</v>
      </c>
      <c r="BC52">
        <f t="shared" si="44"/>
        <v>0.59098759652068811</v>
      </c>
      <c r="BD52">
        <f t="shared" si="28"/>
        <v>-146.13890493609225</v>
      </c>
      <c r="BF52">
        <f t="shared" si="29"/>
        <v>12.886848555576487</v>
      </c>
      <c r="BG52">
        <f t="shared" si="30"/>
        <v>-110.61136286976794</v>
      </c>
      <c r="BH52">
        <f t="shared" si="45"/>
        <v>69.388637130232055</v>
      </c>
      <c r="BI52">
        <f t="shared" si="46"/>
        <v>69.388637130232055</v>
      </c>
      <c r="BJ52">
        <f t="shared" si="31"/>
        <v>0</v>
      </c>
      <c r="BK52">
        <f t="shared" si="47"/>
        <v>0</v>
      </c>
      <c r="BM52">
        <f t="shared" si="48"/>
        <v>1.1892123066710372</v>
      </c>
      <c r="BN52">
        <f t="shared" si="32"/>
        <v>-144.47245793367568</v>
      </c>
      <c r="BQ52" s="66">
        <f t="shared" si="49"/>
        <v>28.599597049190585</v>
      </c>
      <c r="BR52" s="68"/>
      <c r="BS52" s="68"/>
      <c r="BT52" s="68">
        <v>263.02699999999999</v>
      </c>
      <c r="BU52" s="68">
        <v>26.270299999999999</v>
      </c>
      <c r="BV52" s="68">
        <v>-267.3229</v>
      </c>
      <c r="BW52" s="75"/>
      <c r="BY52" s="68"/>
      <c r="BZ52" s="68"/>
      <c r="CA52" s="68"/>
      <c r="CC52" s="68"/>
    </row>
    <row r="53" spans="1:81" x14ac:dyDescent="0.2">
      <c r="A53">
        <f t="shared" si="54"/>
        <v>9500</v>
      </c>
      <c r="B53">
        <f t="shared" si="33"/>
        <v>9.5</v>
      </c>
      <c r="C53">
        <f t="shared" si="0"/>
        <v>1.1615517607819219</v>
      </c>
      <c r="D53">
        <f t="shared" si="1"/>
        <v>0.53372634074486303</v>
      </c>
      <c r="F53">
        <f t="shared" si="2"/>
        <v>5.9498183051329291E-2</v>
      </c>
      <c r="G53">
        <f t="shared" si="3"/>
        <v>0.10326944148959909</v>
      </c>
      <c r="H53">
        <f t="shared" si="4"/>
        <v>-3.0383232085104011</v>
      </c>
      <c r="J53">
        <f t="shared" si="5"/>
        <v>15</v>
      </c>
      <c r="M53">
        <f t="shared" si="6"/>
        <v>0.35510517452103318</v>
      </c>
      <c r="N53">
        <f t="shared" si="7"/>
        <v>-1.5707963250000001</v>
      </c>
      <c r="O53">
        <f t="shared" si="8"/>
        <v>2.9873372387111559</v>
      </c>
      <c r="P53">
        <f t="shared" si="9"/>
        <v>1.2294603731420815</v>
      </c>
      <c r="Q53">
        <f t="shared" si="10"/>
        <v>4.0263209750361932</v>
      </c>
      <c r="R53">
        <f t="shared" si="11"/>
        <v>1.3198036096142558</v>
      </c>
      <c r="S53">
        <f t="shared" si="12"/>
        <v>0.94251046073222611</v>
      </c>
      <c r="T53">
        <f t="shared" si="13"/>
        <v>-0.34073152028755932</v>
      </c>
      <c r="U53">
        <f t="shared" si="14"/>
        <v>0.99999942324664981</v>
      </c>
      <c r="V53">
        <f t="shared" si="15"/>
        <v>-1.0740143440422898E-3</v>
      </c>
      <c r="X53">
        <f t="shared" si="34"/>
        <v>12.409382111264129</v>
      </c>
      <c r="Y53">
        <f t="shared" si="16"/>
        <v>-107.02477739605877</v>
      </c>
      <c r="Z53">
        <f t="shared" si="35"/>
        <v>72.975222603941234</v>
      </c>
      <c r="AC53">
        <v>1</v>
      </c>
      <c r="AD53">
        <f t="shared" si="17"/>
        <v>2.8149926781060004</v>
      </c>
      <c r="AE53">
        <f t="shared" si="18"/>
        <v>-1.680276458394909E-7</v>
      </c>
      <c r="AF53">
        <f t="shared" si="19"/>
        <v>1.5644817237735003E-4</v>
      </c>
      <c r="AG53">
        <f t="shared" si="36"/>
        <v>17986.246657383697</v>
      </c>
      <c r="AH53">
        <f t="shared" si="37"/>
        <v>-6411.21063571173</v>
      </c>
      <c r="AJ53">
        <f t="shared" si="20"/>
        <v>18000</v>
      </c>
      <c r="AK53">
        <f t="shared" si="21"/>
        <v>6382.0826366219999</v>
      </c>
      <c r="AL53">
        <v>1</v>
      </c>
      <c r="AM53">
        <f t="shared" si="22"/>
        <v>3.9001616112689996</v>
      </c>
      <c r="AN53">
        <f t="shared" si="38"/>
        <v>2645.7630145758526</v>
      </c>
      <c r="AO53">
        <f t="shared" si="39"/>
        <v>-3936.8207053420842</v>
      </c>
      <c r="AQ53">
        <f t="shared" si="23"/>
        <v>27.624309392265193</v>
      </c>
      <c r="AR53">
        <f t="shared" si="24"/>
        <v>-524.86187845303868</v>
      </c>
      <c r="AT53">
        <f t="shared" si="52"/>
        <v>-2868142.4149485957</v>
      </c>
      <c r="AU53">
        <f t="shared" si="53"/>
        <v>-9617400.4730939772</v>
      </c>
      <c r="AV53">
        <f t="shared" si="42"/>
        <v>-1.8606232331808121</v>
      </c>
      <c r="AW53">
        <f t="shared" si="25"/>
        <v>-1955496.6724538775</v>
      </c>
      <c r="AX53">
        <f t="shared" si="26"/>
        <v>-1574807.5535310162</v>
      </c>
      <c r="AY53">
        <f t="shared" si="50"/>
        <v>-2.4636140536373627</v>
      </c>
      <c r="BA53">
        <f t="shared" si="27"/>
        <v>3.9971606235427686</v>
      </c>
      <c r="BB53">
        <f t="shared" si="43"/>
        <v>12.035032009568766</v>
      </c>
      <c r="BC53">
        <f t="shared" si="44"/>
        <v>0.60299082045655061</v>
      </c>
      <c r="BD53">
        <f t="shared" si="28"/>
        <v>-145.45117086323108</v>
      </c>
      <c r="BF53">
        <f t="shared" si="29"/>
        <v>12.347702610417082</v>
      </c>
      <c r="BG53">
        <f t="shared" si="30"/>
        <v>-108.95400093185782</v>
      </c>
      <c r="BH53">
        <f t="shared" si="45"/>
        <v>71.04599906814218</v>
      </c>
      <c r="BI53">
        <f t="shared" si="46"/>
        <v>71.04599906814218</v>
      </c>
      <c r="BJ53">
        <f t="shared" si="31"/>
        <v>0</v>
      </c>
      <c r="BK53">
        <f t="shared" si="47"/>
        <v>0</v>
      </c>
      <c r="BM53">
        <f t="shared" si="48"/>
        <v>0.31267060084831633</v>
      </c>
      <c r="BN53">
        <f t="shared" si="32"/>
        <v>-143.50283006862676</v>
      </c>
      <c r="BQ53" s="66">
        <f t="shared" si="49"/>
        <v>28.936992809853905</v>
      </c>
      <c r="BR53" s="68"/>
      <c r="BS53" s="68"/>
      <c r="BT53" s="68">
        <v>269.15300000000002</v>
      </c>
      <c r="BU53" s="68">
        <v>26.235900000000001</v>
      </c>
      <c r="BV53" s="68">
        <v>-265.67700000000002</v>
      </c>
      <c r="BW53" s="75"/>
      <c r="BY53" s="68"/>
      <c r="BZ53" s="68"/>
      <c r="CA53" s="68"/>
      <c r="CC53" s="68"/>
    </row>
    <row r="54" spans="1:81" x14ac:dyDescent="0.2">
      <c r="A54">
        <f t="shared" si="54"/>
        <v>10000</v>
      </c>
      <c r="B54">
        <f t="shared" si="33"/>
        <v>10</v>
      </c>
      <c r="C54">
        <f t="shared" si="0"/>
        <v>1.1776790607190262</v>
      </c>
      <c r="D54">
        <f t="shared" si="1"/>
        <v>0.55646458725027981</v>
      </c>
      <c r="F54">
        <f t="shared" si="2"/>
        <v>5.3413800095023584E-2</v>
      </c>
      <c r="G54">
        <f t="shared" si="3"/>
        <v>9.7569725309411576E-2</v>
      </c>
      <c r="H54">
        <f t="shared" si="4"/>
        <v>-3.0440229246905885</v>
      </c>
      <c r="J54">
        <f t="shared" si="5"/>
        <v>15</v>
      </c>
      <c r="M54">
        <f t="shared" si="6"/>
        <v>0.33734991579498153</v>
      </c>
      <c r="N54">
        <f t="shared" si="7"/>
        <v>-1.5707963250000001</v>
      </c>
      <c r="O54">
        <f t="shared" si="8"/>
        <v>3.1273405688480365</v>
      </c>
      <c r="P54">
        <f t="shared" si="9"/>
        <v>1.2453196157484729</v>
      </c>
      <c r="Q54">
        <f t="shared" si="10"/>
        <v>4.2254683025247566</v>
      </c>
      <c r="R54">
        <f t="shared" si="11"/>
        <v>1.3318694145066392</v>
      </c>
      <c r="S54">
        <f t="shared" si="12"/>
        <v>0.93687593086871168</v>
      </c>
      <c r="T54">
        <f t="shared" si="13"/>
        <v>-0.35721026908883591</v>
      </c>
      <c r="U54">
        <f t="shared" si="14"/>
        <v>0.99999936093817599</v>
      </c>
      <c r="V54">
        <f t="shared" si="15"/>
        <v>-1.1305413678197821E-3</v>
      </c>
      <c r="X54">
        <f t="shared" si="34"/>
        <v>11.911682523915525</v>
      </c>
      <c r="Y54">
        <f t="shared" si="16"/>
        <v>-105.3959556709344</v>
      </c>
      <c r="Z54">
        <f t="shared" si="35"/>
        <v>74.604044329065601</v>
      </c>
      <c r="AC54">
        <v>1</v>
      </c>
      <c r="AD54">
        <f t="shared" si="17"/>
        <v>2.9631501874800001</v>
      </c>
      <c r="AE54">
        <f t="shared" si="18"/>
        <v>-1.8618021699666582E-7</v>
      </c>
      <c r="AF54">
        <f t="shared" si="19"/>
        <v>1.64682286713E-4</v>
      </c>
      <c r="AG54">
        <f t="shared" si="36"/>
        <v>17986.244415991318</v>
      </c>
      <c r="AH54">
        <f t="shared" si="37"/>
        <v>-6092.6326863368731</v>
      </c>
      <c r="AJ54">
        <f t="shared" si="20"/>
        <v>18000</v>
      </c>
      <c r="AK54">
        <f t="shared" si="21"/>
        <v>6717.9817227599997</v>
      </c>
      <c r="AL54">
        <v>1</v>
      </c>
      <c r="AM54">
        <f t="shared" si="22"/>
        <v>4.1054332750200002</v>
      </c>
      <c r="AN54">
        <f t="shared" si="38"/>
        <v>2552.8586861700578</v>
      </c>
      <c r="AO54">
        <f t="shared" si="39"/>
        <v>-3762.6092738663961</v>
      </c>
      <c r="AQ54">
        <f t="shared" si="23"/>
        <v>24.937655860349128</v>
      </c>
      <c r="AR54">
        <f t="shared" si="24"/>
        <v>-498.75311720698255</v>
      </c>
      <c r="AT54">
        <f t="shared" si="52"/>
        <v>-2590184.7708415496</v>
      </c>
      <c r="AU54">
        <f t="shared" si="53"/>
        <v>-9122631.4465377368</v>
      </c>
      <c r="AV54">
        <f t="shared" si="42"/>
        <v>-1.847445183487197</v>
      </c>
      <c r="AW54">
        <f t="shared" si="25"/>
        <v>-1774848.2463300878</v>
      </c>
      <c r="AX54">
        <f t="shared" si="26"/>
        <v>-1440509.7110380346</v>
      </c>
      <c r="AY54">
        <f t="shared" si="50"/>
        <v>-2.4598038917456146</v>
      </c>
      <c r="BA54">
        <f t="shared" si="27"/>
        <v>4.1486448374993818</v>
      </c>
      <c r="BB54">
        <f t="shared" si="43"/>
        <v>12.35812513564229</v>
      </c>
      <c r="BC54">
        <f t="shared" si="44"/>
        <v>0.61235870825841765</v>
      </c>
      <c r="BD54">
        <f t="shared" si="28"/>
        <v>-144.91443042861869</v>
      </c>
      <c r="BF54">
        <f t="shared" si="29"/>
        <v>11.853558917148593</v>
      </c>
      <c r="BG54">
        <f t="shared" si="30"/>
        <v>-107.44102461938861</v>
      </c>
      <c r="BH54">
        <f t="shared" si="45"/>
        <v>72.558975380611386</v>
      </c>
      <c r="BI54">
        <f t="shared" si="46"/>
        <v>72.558975380611386</v>
      </c>
      <c r="BJ54">
        <f t="shared" si="31"/>
        <v>0</v>
      </c>
      <c r="BK54">
        <f t="shared" si="47"/>
        <v>0</v>
      </c>
      <c r="BM54">
        <f t="shared" si="48"/>
        <v>-0.50456621849370087</v>
      </c>
      <c r="BN54">
        <f t="shared" si="32"/>
        <v>-142.52659419076991</v>
      </c>
      <c r="BQ54" s="66">
        <f t="shared" si="49"/>
        <v>29.260085935927428</v>
      </c>
      <c r="BR54" s="68"/>
      <c r="BS54" s="68"/>
      <c r="BT54" s="68">
        <v>275.423</v>
      </c>
      <c r="BU54" s="68">
        <v>25.845600000000001</v>
      </c>
      <c r="BV54" s="68">
        <v>-266.46569999999997</v>
      </c>
      <c r="BW54" s="75"/>
      <c r="BY54" s="68"/>
      <c r="BZ54" s="68"/>
      <c r="CA54" s="68"/>
      <c r="CC54" s="68"/>
    </row>
    <row r="55" spans="1:81" x14ac:dyDescent="0.2">
      <c r="A55">
        <f t="shared" si="54"/>
        <v>10500</v>
      </c>
      <c r="B55">
        <f t="shared" si="33"/>
        <v>10.5</v>
      </c>
      <c r="C55">
        <f t="shared" si="0"/>
        <v>1.19439862984968</v>
      </c>
      <c r="D55">
        <f t="shared" si="1"/>
        <v>0.57857741133034235</v>
      </c>
      <c r="F55">
        <f t="shared" si="2"/>
        <v>4.8228679576523173E-2</v>
      </c>
      <c r="G55">
        <f t="shared" si="3"/>
        <v>9.2488200260834263E-2</v>
      </c>
      <c r="H55">
        <f t="shared" si="4"/>
        <v>-3.0491044497391657</v>
      </c>
      <c r="J55">
        <f t="shared" si="5"/>
        <v>15</v>
      </c>
      <c r="M55">
        <f t="shared" si="6"/>
        <v>0.32128563409045863</v>
      </c>
      <c r="N55">
        <f t="shared" si="7"/>
        <v>-1.5707963250000001</v>
      </c>
      <c r="O55">
        <f t="shared" si="8"/>
        <v>3.2680629713184755</v>
      </c>
      <c r="P55">
        <f t="shared" si="9"/>
        <v>1.259816453742268</v>
      </c>
      <c r="Q55">
        <f t="shared" si="10"/>
        <v>4.4251753715694351</v>
      </c>
      <c r="R55">
        <f t="shared" si="11"/>
        <v>1.3428476461733432</v>
      </c>
      <c r="S55">
        <f t="shared" si="12"/>
        <v>0.9310600692449138</v>
      </c>
      <c r="T55">
        <f t="shared" si="13"/>
        <v>-0.3734888027158344</v>
      </c>
      <c r="U55">
        <f t="shared" si="14"/>
        <v>0.99999929543440802</v>
      </c>
      <c r="V55">
        <f t="shared" si="15"/>
        <v>-1.1870683843724248E-3</v>
      </c>
      <c r="X55">
        <f t="shared" si="34"/>
        <v>11.452710651316336</v>
      </c>
      <c r="Y55">
        <f t="shared" si="16"/>
        <v>-103.89645017370897</v>
      </c>
      <c r="Z55">
        <f t="shared" si="35"/>
        <v>76.103549826291029</v>
      </c>
      <c r="AC55">
        <v>1</v>
      </c>
      <c r="AD55">
        <f t="shared" si="17"/>
        <v>3.1113076968540003</v>
      </c>
      <c r="AE55">
        <f t="shared" si="18"/>
        <v>-2.052636892388241E-7</v>
      </c>
      <c r="AF55">
        <f t="shared" si="19"/>
        <v>1.7291640104865E-4</v>
      </c>
      <c r="AG55">
        <f t="shared" si="36"/>
        <v>17986.242059656332</v>
      </c>
      <c r="AH55">
        <f t="shared" si="37"/>
        <v>-5804.492322959688</v>
      </c>
      <c r="AJ55">
        <f t="shared" si="20"/>
        <v>18000</v>
      </c>
      <c r="AK55">
        <f t="shared" si="21"/>
        <v>7053.8808088979995</v>
      </c>
      <c r="AL55">
        <v>1</v>
      </c>
      <c r="AM55">
        <f t="shared" si="22"/>
        <v>4.3107049387709999</v>
      </c>
      <c r="AN55">
        <f t="shared" si="38"/>
        <v>2472.0029172186883</v>
      </c>
      <c r="AO55">
        <f t="shared" si="39"/>
        <v>-3602.1943750129208</v>
      </c>
      <c r="AQ55">
        <f t="shared" si="23"/>
        <v>22.624434389140273</v>
      </c>
      <c r="AR55">
        <f t="shared" si="24"/>
        <v>-475.11312217194569</v>
      </c>
      <c r="AT55">
        <f t="shared" si="52"/>
        <v>-2350861.9167985776</v>
      </c>
      <c r="AU55">
        <f t="shared" si="53"/>
        <v>-8676822.9768267572</v>
      </c>
      <c r="AV55">
        <f t="shared" si="42"/>
        <v>-1.835380164954914</v>
      </c>
      <c r="AW55">
        <f t="shared" si="25"/>
        <v>-1617071.9266104463</v>
      </c>
      <c r="AX55">
        <f t="shared" si="26"/>
        <v>-1325838.4655403595</v>
      </c>
      <c r="AY55">
        <f t="shared" si="50"/>
        <v>-2.454834359925449</v>
      </c>
      <c r="BA55">
        <f t="shared" si="27"/>
        <v>4.2989709201467061</v>
      </c>
      <c r="BB55">
        <f t="shared" si="43"/>
        <v>12.667290147920344</v>
      </c>
      <c r="BC55">
        <f t="shared" si="44"/>
        <v>0.619454194970535</v>
      </c>
      <c r="BD55">
        <f t="shared" si="28"/>
        <v>-144.50788898595866</v>
      </c>
      <c r="BF55">
        <f t="shared" si="29"/>
        <v>11.398208695431244</v>
      </c>
      <c r="BG55">
        <f t="shared" si="30"/>
        <v>-106.05866162148421</v>
      </c>
      <c r="BH55">
        <f t="shared" si="45"/>
        <v>73.941338378515795</v>
      </c>
      <c r="BI55">
        <f t="shared" si="46"/>
        <v>73.941338378515795</v>
      </c>
      <c r="BJ55">
        <f t="shared" si="31"/>
        <v>0</v>
      </c>
      <c r="BK55">
        <f t="shared" si="47"/>
        <v>0</v>
      </c>
      <c r="BM55">
        <f t="shared" si="48"/>
        <v>-1.2690814524891043</v>
      </c>
      <c r="BN55">
        <f t="shared" si="32"/>
        <v>-141.55077263552553</v>
      </c>
      <c r="BQ55" s="66">
        <f t="shared" si="49"/>
        <v>29.569250948205482</v>
      </c>
      <c r="BR55" s="69"/>
      <c r="BS55" s="69"/>
      <c r="BT55" s="69">
        <v>281.83800000000002</v>
      </c>
      <c r="BU55" s="69">
        <v>26.1068</v>
      </c>
      <c r="BV55" s="69">
        <v>-266.67570000000001</v>
      </c>
      <c r="BW55" s="75"/>
      <c r="BY55" s="69"/>
      <c r="BZ55" s="69"/>
      <c r="CA55" s="69"/>
      <c r="CC55" s="69"/>
    </row>
    <row r="56" spans="1:81" x14ac:dyDescent="0.2">
      <c r="A56">
        <f t="shared" si="54"/>
        <v>11000</v>
      </c>
      <c r="B56">
        <f t="shared" si="33"/>
        <v>11</v>
      </c>
      <c r="C56">
        <f t="shared" si="0"/>
        <v>1.2116859509657683</v>
      </c>
      <c r="D56">
        <f t="shared" si="1"/>
        <v>0.600069525185009</v>
      </c>
      <c r="F56">
        <f t="shared" si="2"/>
        <v>4.3772079309589658E-2</v>
      </c>
      <c r="G56">
        <f t="shared" si="3"/>
        <v>8.7926932625591425E-2</v>
      </c>
      <c r="H56">
        <f t="shared" si="4"/>
        <v>-3.0536657173744088</v>
      </c>
      <c r="J56">
        <f t="shared" si="5"/>
        <v>15</v>
      </c>
      <c r="M56">
        <f t="shared" si="6"/>
        <v>0.3066817416318014</v>
      </c>
      <c r="N56">
        <f t="shared" si="7"/>
        <v>-1.5707963250000001</v>
      </c>
      <c r="O56">
        <f t="shared" si="8"/>
        <v>3.4094154089243718</v>
      </c>
      <c r="P56">
        <f t="shared" si="9"/>
        <v>1.2731138353262641</v>
      </c>
      <c r="Q56">
        <f t="shared" si="10"/>
        <v>4.6253696797689745</v>
      </c>
      <c r="R56">
        <f t="shared" si="11"/>
        <v>1.3528766857903496</v>
      </c>
      <c r="S56">
        <f t="shared" si="12"/>
        <v>0.92507538725620408</v>
      </c>
      <c r="T56">
        <f t="shared" si="13"/>
        <v>-0.3895622801662304</v>
      </c>
      <c r="U56">
        <f t="shared" si="14"/>
        <v>0.99999922673534858</v>
      </c>
      <c r="V56">
        <f t="shared" si="15"/>
        <v>-1.2435953933389774E-3</v>
      </c>
      <c r="X56">
        <f t="shared" si="34"/>
        <v>11.027391780482848</v>
      </c>
      <c r="Y56">
        <f t="shared" si="16"/>
        <v>-102.5140598332581</v>
      </c>
      <c r="Z56">
        <f t="shared" si="35"/>
        <v>77.485940166741898</v>
      </c>
      <c r="AC56">
        <v>1</v>
      </c>
      <c r="AD56">
        <f t="shared" si="17"/>
        <v>3.2594652062280001</v>
      </c>
      <c r="AE56">
        <f t="shared" si="18"/>
        <v>-2.2527806256596563E-7</v>
      </c>
      <c r="AF56">
        <f t="shared" si="19"/>
        <v>1.811505153843E-4</v>
      </c>
      <c r="AG56">
        <f t="shared" si="36"/>
        <v>17986.239588378845</v>
      </c>
      <c r="AH56">
        <f t="shared" si="37"/>
        <v>-5542.6389655987514</v>
      </c>
      <c r="AJ56">
        <f t="shared" si="20"/>
        <v>18000</v>
      </c>
      <c r="AK56">
        <f t="shared" si="21"/>
        <v>7389.7798950360002</v>
      </c>
      <c r="AL56">
        <v>1</v>
      </c>
      <c r="AM56">
        <f t="shared" si="22"/>
        <v>4.5159766025219996</v>
      </c>
      <c r="AN56">
        <f t="shared" si="38"/>
        <v>2401.2323936547959</v>
      </c>
      <c r="AO56">
        <f t="shared" si="39"/>
        <v>-3454.1294119269555</v>
      </c>
      <c r="AQ56">
        <f t="shared" si="23"/>
        <v>20.618556701030929</v>
      </c>
      <c r="AR56">
        <f t="shared" si="24"/>
        <v>-453.60824742268039</v>
      </c>
      <c r="AT56">
        <f t="shared" si="52"/>
        <v>-2143336.4464905914</v>
      </c>
      <c r="AU56">
        <f t="shared" si="53"/>
        <v>-8272987.8331945017</v>
      </c>
      <c r="AV56">
        <f t="shared" si="42"/>
        <v>-1.824299134235291</v>
      </c>
      <c r="AW56">
        <f t="shared" si="25"/>
        <v>-1478557.1125086315</v>
      </c>
      <c r="AX56">
        <f t="shared" si="26"/>
        <v>-1227059.4435163217</v>
      </c>
      <c r="AY56">
        <f t="shared" si="50"/>
        <v>-2.4488820704649377</v>
      </c>
      <c r="BA56">
        <f t="shared" si="27"/>
        <v>4.4478456117236576</v>
      </c>
      <c r="BB56">
        <f t="shared" si="43"/>
        <v>12.962994082540488</v>
      </c>
      <c r="BC56">
        <f t="shared" si="44"/>
        <v>0.62458293622964667</v>
      </c>
      <c r="BD56">
        <f t="shared" si="28"/>
        <v>-144.21403375726118</v>
      </c>
      <c r="BF56">
        <f t="shared" si="29"/>
        <v>10.976564261241723</v>
      </c>
      <c r="BG56">
        <f t="shared" si="30"/>
        <v>-104.79474035972025</v>
      </c>
      <c r="BH56">
        <f t="shared" si="45"/>
        <v>75.205259640279749</v>
      </c>
      <c r="BI56">
        <f t="shared" si="46"/>
        <v>75.205259640279749</v>
      </c>
      <c r="BJ56">
        <f t="shared" si="31"/>
        <v>0</v>
      </c>
      <c r="BK56">
        <f t="shared" si="47"/>
        <v>0</v>
      </c>
      <c r="BM56">
        <f t="shared" si="48"/>
        <v>-1.9864298212987663</v>
      </c>
      <c r="BN56">
        <f t="shared" si="32"/>
        <v>-140.58070660245909</v>
      </c>
      <c r="BQ56" s="66">
        <f t="shared" si="49"/>
        <v>29.864954882825625</v>
      </c>
      <c r="BR56" s="69"/>
      <c r="BS56" s="69"/>
      <c r="BT56" s="69">
        <v>288.40300000000002</v>
      </c>
      <c r="BU56" s="69">
        <v>25.784400000000002</v>
      </c>
      <c r="BV56" s="69">
        <v>-268.05989999999997</v>
      </c>
      <c r="BW56" s="75"/>
      <c r="BY56" s="69"/>
      <c r="BZ56" s="69"/>
      <c r="CA56" s="69"/>
      <c r="CC56" s="69"/>
    </row>
    <row r="57" spans="1:81" x14ac:dyDescent="0.2">
      <c r="A57">
        <f t="shared" si="54"/>
        <v>11500</v>
      </c>
      <c r="B57">
        <f t="shared" si="33"/>
        <v>11.5</v>
      </c>
      <c r="C57">
        <f t="shared" si="0"/>
        <v>1.2295170760909031</v>
      </c>
      <c r="D57">
        <f t="shared" si="1"/>
        <v>0.62094767363856851</v>
      </c>
      <c r="F57">
        <f t="shared" si="2"/>
        <v>3.991230334612058E-2</v>
      </c>
      <c r="G57">
        <f t="shared" si="3"/>
        <v>8.3807997991764499E-2</v>
      </c>
      <c r="H57">
        <f t="shared" si="4"/>
        <v>-3.0577846520082357</v>
      </c>
      <c r="J57">
        <f t="shared" si="5"/>
        <v>15</v>
      </c>
      <c r="M57">
        <f t="shared" si="6"/>
        <v>0.29334775286520132</v>
      </c>
      <c r="N57">
        <f t="shared" si="7"/>
        <v>-1.5707963250000001</v>
      </c>
      <c r="O57">
        <f t="shared" si="8"/>
        <v>3.5513226510536535</v>
      </c>
      <c r="P57">
        <f t="shared" si="9"/>
        <v>1.2853505393599645</v>
      </c>
      <c r="Q57">
        <f t="shared" si="10"/>
        <v>4.8259905917630848</v>
      </c>
      <c r="R57">
        <f t="shared" si="11"/>
        <v>1.3620727544147366</v>
      </c>
      <c r="S57">
        <f t="shared" si="12"/>
        <v>0.9189343019795313</v>
      </c>
      <c r="T57">
        <f t="shared" si="13"/>
        <v>-0.40542640516647294</v>
      </c>
      <c r="U57">
        <f t="shared" si="14"/>
        <v>0.99999915484099877</v>
      </c>
      <c r="V57">
        <f t="shared" si="15"/>
        <v>-1.3001223943581992E-3</v>
      </c>
      <c r="X57">
        <f t="shared" si="34"/>
        <v>10.631521594691947</v>
      </c>
      <c r="Y57">
        <f t="shared" si="16"/>
        <v>-101.23800636216905</v>
      </c>
      <c r="Z57">
        <f t="shared" si="35"/>
        <v>78.761993637830955</v>
      </c>
      <c r="AC57">
        <v>1</v>
      </c>
      <c r="AD57">
        <f t="shared" si="17"/>
        <v>3.4076227156020007</v>
      </c>
      <c r="AE57">
        <f t="shared" si="18"/>
        <v>-2.4622333697809057E-7</v>
      </c>
      <c r="AF57">
        <f t="shared" si="19"/>
        <v>1.8938462971995E-4</v>
      </c>
      <c r="AG57">
        <f t="shared" si="36"/>
        <v>17986.237002158949</v>
      </c>
      <c r="AH57">
        <f t="shared" si="37"/>
        <v>-5303.6438742660157</v>
      </c>
      <c r="AJ57">
        <f t="shared" si="20"/>
        <v>18000</v>
      </c>
      <c r="AK57">
        <f t="shared" si="21"/>
        <v>7725.678981174</v>
      </c>
      <c r="AL57">
        <v>1</v>
      </c>
      <c r="AM57">
        <f t="shared" si="22"/>
        <v>4.7212482662729993</v>
      </c>
      <c r="AN57">
        <f t="shared" si="38"/>
        <v>2338.9615860530894</v>
      </c>
      <c r="AO57">
        <f t="shared" si="39"/>
        <v>-3317.1393518582936</v>
      </c>
      <c r="AQ57">
        <f t="shared" si="23"/>
        <v>18.867924528301888</v>
      </c>
      <c r="AR57">
        <f t="shared" si="24"/>
        <v>-433.96226415094338</v>
      </c>
      <c r="AT57">
        <f t="shared" si="52"/>
        <v>-1962218.3416218753</v>
      </c>
      <c r="AU57">
        <f t="shared" si="53"/>
        <v>-7905416.8853570158</v>
      </c>
      <c r="AV57">
        <f t="shared" si="42"/>
        <v>-1.8140913412326558</v>
      </c>
      <c r="AW57">
        <f t="shared" si="25"/>
        <v>-1356359.6635457012</v>
      </c>
      <c r="AX57">
        <f t="shared" si="26"/>
        <v>-1141281.2318845394</v>
      </c>
      <c r="AY57">
        <f t="shared" si="50"/>
        <v>-2.4420952115967989</v>
      </c>
      <c r="BA57">
        <f t="shared" si="27"/>
        <v>4.5950242940859765</v>
      </c>
      <c r="BB57">
        <f t="shared" si="43"/>
        <v>13.245756237226459</v>
      </c>
      <c r="BC57">
        <f t="shared" si="44"/>
        <v>0.62800387036414307</v>
      </c>
      <c r="BD57">
        <f t="shared" si="28"/>
        <v>-144.01802866913835</v>
      </c>
      <c r="BF57">
        <f t="shared" si="29"/>
        <v>10.584408548628012</v>
      </c>
      <c r="BG57">
        <f t="shared" si="30"/>
        <v>-103.63850305067217</v>
      </c>
      <c r="BH57">
        <f t="shared" si="45"/>
        <v>76.361496949327829</v>
      </c>
      <c r="BI57">
        <f t="shared" si="46"/>
        <v>76.361496949327829</v>
      </c>
      <c r="BJ57">
        <f t="shared" si="31"/>
        <v>0</v>
      </c>
      <c r="BK57">
        <f t="shared" si="47"/>
        <v>0</v>
      </c>
      <c r="BM57">
        <f t="shared" si="48"/>
        <v>-2.6613476885984473</v>
      </c>
      <c r="BN57">
        <f t="shared" si="32"/>
        <v>-139.62047438153385</v>
      </c>
      <c r="BQ57" s="66">
        <f t="shared" si="49"/>
        <v>30.147717037511597</v>
      </c>
      <c r="BR57" s="69"/>
      <c r="BS57" s="69"/>
      <c r="BT57" s="69">
        <v>295.12099999999998</v>
      </c>
      <c r="BU57" s="69">
        <v>25.581099999999999</v>
      </c>
      <c r="BV57" s="69">
        <v>-265.88</v>
      </c>
      <c r="BW57" s="75"/>
      <c r="BY57" s="69"/>
      <c r="BZ57" s="69"/>
      <c r="CA57" s="69"/>
      <c r="CC57" s="69"/>
    </row>
    <row r="58" spans="1:81" x14ac:dyDescent="0.2">
      <c r="A58">
        <f t="shared" si="54"/>
        <v>12000</v>
      </c>
      <c r="B58">
        <f t="shared" si="33"/>
        <v>12</v>
      </c>
      <c r="C58">
        <f t="shared" si="0"/>
        <v>1.2478686937657781</v>
      </c>
      <c r="D58">
        <f t="shared" si="1"/>
        <v>0.64122036277435768</v>
      </c>
      <c r="F58">
        <f t="shared" si="2"/>
        <v>3.6546375337498695E-2</v>
      </c>
      <c r="G58">
        <f t="shared" si="3"/>
        <v>8.0068559308784898E-2</v>
      </c>
      <c r="H58">
        <f t="shared" si="4"/>
        <v>-3.0615240906912153</v>
      </c>
      <c r="J58">
        <f t="shared" si="5"/>
        <v>15</v>
      </c>
      <c r="M58">
        <f t="shared" si="6"/>
        <v>0.28112492982915127</v>
      </c>
      <c r="N58">
        <f t="shared" si="7"/>
        <v>-1.5707963250000001</v>
      </c>
      <c r="O58">
        <f t="shared" si="8"/>
        <v>3.6937207539729333</v>
      </c>
      <c r="P58">
        <f t="shared" si="9"/>
        <v>1.2966453436910703</v>
      </c>
      <c r="Q58">
        <f t="shared" si="10"/>
        <v>5.0269870321021992</v>
      </c>
      <c r="R58">
        <f t="shared" si="11"/>
        <v>1.3705341100432857</v>
      </c>
      <c r="S58">
        <f t="shared" si="12"/>
        <v>0.91264908366339004</v>
      </c>
      <c r="T58">
        <f t="shared" si="13"/>
        <v>-0.42107741386988978</v>
      </c>
      <c r="U58">
        <f t="shared" si="14"/>
        <v>0.99999907975136137</v>
      </c>
      <c r="V58">
        <f t="shared" si="15"/>
        <v>-1.3566493870688506E-3</v>
      </c>
      <c r="X58">
        <f t="shared" si="34"/>
        <v>10.261581311574076</v>
      </c>
      <c r="Y58">
        <f t="shared" si="16"/>
        <v>-100.05875180510844</v>
      </c>
      <c r="Z58">
        <f t="shared" si="35"/>
        <v>79.941248194891557</v>
      </c>
      <c r="AC58">
        <v>1</v>
      </c>
      <c r="AD58">
        <f t="shared" si="17"/>
        <v>3.555780224976</v>
      </c>
      <c r="AE58">
        <f t="shared" si="18"/>
        <v>-2.6809951247519883E-7</v>
      </c>
      <c r="AF58">
        <f t="shared" si="19"/>
        <v>1.976187440556E-4</v>
      </c>
      <c r="AG58">
        <f t="shared" si="36"/>
        <v>17986.23430099673</v>
      </c>
      <c r="AH58">
        <f t="shared" si="37"/>
        <v>-5084.6497656348611</v>
      </c>
      <c r="AJ58">
        <f t="shared" si="20"/>
        <v>18000</v>
      </c>
      <c r="AK58">
        <f t="shared" si="21"/>
        <v>8061.5780673119989</v>
      </c>
      <c r="AL58">
        <v>1</v>
      </c>
      <c r="AM58">
        <f t="shared" si="22"/>
        <v>4.9265199300239999</v>
      </c>
      <c r="AN58">
        <f t="shared" si="38"/>
        <v>2283.9001909622089</v>
      </c>
      <c r="AO58">
        <f t="shared" si="39"/>
        <v>-3190.1017416489431</v>
      </c>
      <c r="AQ58">
        <f t="shared" si="23"/>
        <v>17.331022530329289</v>
      </c>
      <c r="AR58">
        <f t="shared" si="24"/>
        <v>-415.94454072790296</v>
      </c>
      <c r="AT58">
        <f t="shared" si="52"/>
        <v>-1803212.4796228758</v>
      </c>
      <c r="AU58">
        <f t="shared" si="53"/>
        <v>-7569398.145399591</v>
      </c>
      <c r="AV58">
        <f t="shared" si="42"/>
        <v>-1.8046613801872033</v>
      </c>
      <c r="AW58">
        <f t="shared" si="25"/>
        <v>-1248064.0302650421</v>
      </c>
      <c r="AX58">
        <f t="shared" si="26"/>
        <v>-1066239.559979287</v>
      </c>
      <c r="AY58">
        <f t="shared" si="50"/>
        <v>-2.4345989588770443</v>
      </c>
      <c r="BA58">
        <f t="shared" si="27"/>
        <v>4.7403024982386297</v>
      </c>
      <c r="BB58">
        <f t="shared" si="43"/>
        <v>13.516121133582955</v>
      </c>
      <c r="BC58">
        <f t="shared" si="44"/>
        <v>0.6299375786898409</v>
      </c>
      <c r="BD58">
        <f t="shared" si="28"/>
        <v>-143.90723534313992</v>
      </c>
      <c r="BF58">
        <f t="shared" si="29"/>
        <v>10.218210305909212</v>
      </c>
      <c r="BG58">
        <f t="shared" si="30"/>
        <v>-102.5804242510126</v>
      </c>
      <c r="BH58">
        <f t="shared" si="45"/>
        <v>77.419575748987398</v>
      </c>
      <c r="BI58">
        <f t="shared" si="46"/>
        <v>77.419575748987398</v>
      </c>
      <c r="BJ58">
        <f t="shared" si="31"/>
        <v>0</v>
      </c>
      <c r="BK58">
        <f t="shared" si="47"/>
        <v>0</v>
      </c>
      <c r="BM58">
        <f t="shared" si="48"/>
        <v>-3.2979108276737397</v>
      </c>
      <c r="BN58">
        <f t="shared" si="32"/>
        <v>-138.67318890787269</v>
      </c>
      <c r="BQ58" s="66">
        <f t="shared" si="49"/>
        <v>30.418081933868095</v>
      </c>
      <c r="BR58" s="69"/>
      <c r="BS58" s="69"/>
      <c r="BT58" s="69">
        <v>301.995</v>
      </c>
      <c r="BU58" s="69">
        <v>24.917000000000002</v>
      </c>
      <c r="BV58" s="69">
        <v>-267.13580000000002</v>
      </c>
      <c r="BW58" s="75"/>
      <c r="BY58" s="69"/>
      <c r="BZ58" s="69"/>
      <c r="CA58" s="69"/>
      <c r="CC58" s="69"/>
    </row>
    <row r="59" spans="1:81" x14ac:dyDescent="0.2">
      <c r="A59">
        <f t="shared" si="54"/>
        <v>12500</v>
      </c>
      <c r="B59">
        <f t="shared" si="33"/>
        <v>12.5</v>
      </c>
      <c r="C59">
        <f t="shared" si="0"/>
        <v>1.2667181822380915</v>
      </c>
      <c r="D59">
        <f t="shared" si="1"/>
        <v>0.6608976035336207</v>
      </c>
      <c r="F59">
        <f t="shared" si="2"/>
        <v>3.3592783672776287E-2</v>
      </c>
      <c r="G59">
        <f t="shared" si="3"/>
        <v>7.6657340990832268E-2</v>
      </c>
      <c r="H59">
        <f t="shared" si="4"/>
        <v>-3.0649353090091678</v>
      </c>
      <c r="J59">
        <f t="shared" si="5"/>
        <v>15</v>
      </c>
      <c r="M59">
        <f t="shared" si="6"/>
        <v>0.2698799326359852</v>
      </c>
      <c r="N59">
        <f t="shared" si="7"/>
        <v>-1.5707963250000001</v>
      </c>
      <c r="O59">
        <f t="shared" si="8"/>
        <v>3.8365550615026778</v>
      </c>
      <c r="P59">
        <f t="shared" si="9"/>
        <v>1.3071003930031289</v>
      </c>
      <c r="Q59">
        <f t="shared" si="10"/>
        <v>5.2283156907305974</v>
      </c>
      <c r="R59">
        <f t="shared" si="11"/>
        <v>1.378344340520262</v>
      </c>
      <c r="S59">
        <f t="shared" si="12"/>
        <v>0.90623180791772295</v>
      </c>
      <c r="T59">
        <f t="shared" si="13"/>
        <v>-0.43651206026751843</v>
      </c>
      <c r="U59">
        <f t="shared" si="14"/>
        <v>0.99999900146643828</v>
      </c>
      <c r="V59">
        <f t="shared" si="15"/>
        <v>-1.4131763711096922E-3</v>
      </c>
      <c r="X59">
        <f t="shared" si="34"/>
        <v>9.9145991170538892</v>
      </c>
      <c r="Y59">
        <f t="shared" si="16"/>
        <v>-98.967832779447434</v>
      </c>
      <c r="Z59">
        <f t="shared" si="35"/>
        <v>81.032167220552566</v>
      </c>
      <c r="AC59">
        <v>1</v>
      </c>
      <c r="AD59">
        <f t="shared" si="17"/>
        <v>3.7039377343500002</v>
      </c>
      <c r="AE59">
        <f t="shared" si="18"/>
        <v>-2.9090658905729036E-7</v>
      </c>
      <c r="AF59">
        <f t="shared" si="19"/>
        <v>2.0585285839125E-4</v>
      </c>
      <c r="AG59">
        <f t="shared" si="36"/>
        <v>17986.231484892305</v>
      </c>
      <c r="AH59">
        <f t="shared" si="37"/>
        <v>-4883.2565217078045</v>
      </c>
      <c r="AJ59">
        <f t="shared" si="20"/>
        <v>18000</v>
      </c>
      <c r="AK59">
        <f t="shared" si="21"/>
        <v>8397.4771534499996</v>
      </c>
      <c r="AL59">
        <v>1</v>
      </c>
      <c r="AM59">
        <f t="shared" si="22"/>
        <v>5.1317915937750005</v>
      </c>
      <c r="AN59">
        <f t="shared" si="38"/>
        <v>2234.9905168377286</v>
      </c>
      <c r="AO59">
        <f t="shared" si="39"/>
        <v>-3072.0283930246987</v>
      </c>
      <c r="AQ59">
        <f t="shared" si="23"/>
        <v>15.974440894568691</v>
      </c>
      <c r="AR59">
        <f t="shared" si="24"/>
        <v>-399.36102236421726</v>
      </c>
      <c r="AT59">
        <f t="shared" si="52"/>
        <v>-1662862.3252045177</v>
      </c>
      <c r="AU59">
        <f t="shared" si="53"/>
        <v>-7261007.0869651036</v>
      </c>
      <c r="AV59">
        <f t="shared" si="42"/>
        <v>-1.795926749834484</v>
      </c>
      <c r="AW59">
        <f t="shared" si="25"/>
        <v>-1151676.3222400097</v>
      </c>
      <c r="AX59">
        <f t="shared" si="26"/>
        <v>-1000142.5064651932</v>
      </c>
      <c r="AY59">
        <f t="shared" si="50"/>
        <v>-2.4264996958276179</v>
      </c>
      <c r="BA59">
        <f t="shared" si="27"/>
        <v>4.8835093369271698</v>
      </c>
      <c r="BB59">
        <f t="shared" si="43"/>
        <v>13.774640447923304</v>
      </c>
      <c r="BC59">
        <f t="shared" si="44"/>
        <v>0.63057294599313396</v>
      </c>
      <c r="BD59">
        <f t="shared" si="28"/>
        <v>-143.87083147817904</v>
      </c>
      <c r="BF59">
        <f t="shared" si="29"/>
        <v>9.8749855812092253</v>
      </c>
      <c r="BG59">
        <f t="shared" si="30"/>
        <v>-101.61204594963459</v>
      </c>
      <c r="BH59">
        <f t="shared" si="45"/>
        <v>78.387954050365408</v>
      </c>
      <c r="BI59">
        <f t="shared" si="46"/>
        <v>78.387954050365408</v>
      </c>
      <c r="BJ59">
        <f t="shared" si="31"/>
        <v>0</v>
      </c>
      <c r="BK59">
        <f t="shared" si="47"/>
        <v>0</v>
      </c>
      <c r="BM59">
        <f t="shared" si="48"/>
        <v>-3.8996548667140769</v>
      </c>
      <c r="BN59">
        <f t="shared" si="32"/>
        <v>-137.74121447145558</v>
      </c>
      <c r="BQ59" s="66">
        <f t="shared" si="49"/>
        <v>30.676601248208438</v>
      </c>
      <c r="BR59" s="69"/>
      <c r="BS59" s="69"/>
      <c r="BT59" s="69">
        <v>309.02999999999997</v>
      </c>
      <c r="BU59" s="69">
        <v>24.825199999999999</v>
      </c>
      <c r="BV59" s="69">
        <v>-265.03610000000003</v>
      </c>
      <c r="BW59" s="75"/>
      <c r="BY59" s="69"/>
      <c r="BZ59" s="69"/>
      <c r="CA59" s="69"/>
      <c r="CC59" s="69"/>
    </row>
    <row r="60" spans="1:81" x14ac:dyDescent="0.2">
      <c r="A60">
        <f t="shared" si="54"/>
        <v>13000</v>
      </c>
      <c r="B60">
        <f t="shared" si="33"/>
        <v>13</v>
      </c>
      <c r="C60">
        <f t="shared" si="0"/>
        <v>1.2860436498792416</v>
      </c>
      <c r="D60">
        <f t="shared" si="1"/>
        <v>0.67999067244750577</v>
      </c>
      <c r="F60">
        <f t="shared" si="2"/>
        <v>3.0986291202339849E-2</v>
      </c>
      <c r="G60">
        <f t="shared" si="3"/>
        <v>7.35320555939626E-2</v>
      </c>
      <c r="H60">
        <f t="shared" si="4"/>
        <v>-3.0680605944060377</v>
      </c>
      <c r="J60">
        <f t="shared" si="5"/>
        <v>15</v>
      </c>
      <c r="M60">
        <f t="shared" si="6"/>
        <v>0.2594999352269089</v>
      </c>
      <c r="N60">
        <f t="shared" si="7"/>
        <v>-1.5707963250000001</v>
      </c>
      <c r="O60">
        <f t="shared" si="8"/>
        <v>3.9797786077520776</v>
      </c>
      <c r="P60">
        <f t="shared" si="9"/>
        <v>1.3168039315480511</v>
      </c>
      <c r="Q60">
        <f t="shared" si="10"/>
        <v>5.4299396142898351</v>
      </c>
      <c r="R60">
        <f t="shared" si="11"/>
        <v>1.3855749679431146</v>
      </c>
      <c r="S60">
        <f t="shared" si="12"/>
        <v>0.89969431270179234</v>
      </c>
      <c r="T60">
        <f t="shared" si="13"/>
        <v>-0.45172759961119735</v>
      </c>
      <c r="U60">
        <f t="shared" si="14"/>
        <v>0.99999891998623158</v>
      </c>
      <c r="V60">
        <f t="shared" si="15"/>
        <v>-1.4697033461194844E-3</v>
      </c>
      <c r="X60">
        <f t="shared" si="34"/>
        <v>9.5880447872133558</v>
      </c>
      <c r="Y60">
        <f t="shared" si="16"/>
        <v>-97.957714879566879</v>
      </c>
      <c r="Z60">
        <f t="shared" si="35"/>
        <v>82.042285120433121</v>
      </c>
      <c r="AC60">
        <v>1</v>
      </c>
      <c r="AD60">
        <f t="shared" si="17"/>
        <v>3.8520952437240008</v>
      </c>
      <c r="AE60">
        <f t="shared" si="18"/>
        <v>-3.1464456672436528E-7</v>
      </c>
      <c r="AF60">
        <f t="shared" si="19"/>
        <v>2.140869727269E-4</v>
      </c>
      <c r="AG60">
        <f t="shared" si="36"/>
        <v>17986.228553845784</v>
      </c>
      <c r="AH60">
        <f t="shared" si="37"/>
        <v>-4697.4332734070613</v>
      </c>
      <c r="AJ60">
        <f t="shared" si="20"/>
        <v>18000</v>
      </c>
      <c r="AK60">
        <f t="shared" si="21"/>
        <v>8733.3762395879985</v>
      </c>
      <c r="AL60">
        <v>1</v>
      </c>
      <c r="AM60">
        <f t="shared" si="22"/>
        <v>5.3370632575260002</v>
      </c>
      <c r="AN60">
        <f t="shared" si="38"/>
        <v>2191.3595943540918</v>
      </c>
      <c r="AO60">
        <f t="shared" si="39"/>
        <v>-2962.0485354663037</v>
      </c>
      <c r="AQ60">
        <f t="shared" si="23"/>
        <v>14.771048744460856</v>
      </c>
      <c r="AR60">
        <f t="shared" si="24"/>
        <v>-384.04726735598229</v>
      </c>
      <c r="AT60">
        <f t="shared" si="52"/>
        <v>-1538360.953541179</v>
      </c>
      <c r="AU60">
        <f t="shared" si="53"/>
        <v>-6976947.9419999616</v>
      </c>
      <c r="AV60">
        <f t="shared" si="42"/>
        <v>-1.7878158353666735</v>
      </c>
      <c r="AW60">
        <f t="shared" si="25"/>
        <v>-1065541.0060137534</v>
      </c>
      <c r="AX60">
        <f t="shared" si="26"/>
        <v>-941558.00922744372</v>
      </c>
      <c r="AY60">
        <f t="shared" si="50"/>
        <v>-2.4178883365956283</v>
      </c>
      <c r="BA60">
        <f t="shared" si="27"/>
        <v>5.0245023435881571</v>
      </c>
      <c r="BB60">
        <f t="shared" si="43"/>
        <v>14.021861062600532</v>
      </c>
      <c r="BC60">
        <f t="shared" si="44"/>
        <v>0.63007250122895475</v>
      </c>
      <c r="BD60">
        <f t="shared" si="28"/>
        <v>-143.89950485107869</v>
      </c>
      <c r="BF60">
        <f t="shared" si="29"/>
        <v>9.5521923893783462</v>
      </c>
      <c r="BG60">
        <f t="shared" si="30"/>
        <v>-100.72583271778531</v>
      </c>
      <c r="BH60">
        <f t="shared" si="45"/>
        <v>79.274167282214691</v>
      </c>
      <c r="BI60">
        <f t="shared" si="46"/>
        <v>79.274167282214691</v>
      </c>
      <c r="BJ60">
        <f t="shared" si="31"/>
        <v>0</v>
      </c>
      <c r="BK60">
        <f t="shared" si="47"/>
        <v>0</v>
      </c>
      <c r="BM60">
        <f t="shared" si="48"/>
        <v>-4.469668673222186</v>
      </c>
      <c r="BN60">
        <f t="shared" si="32"/>
        <v>-136.82632786670663</v>
      </c>
      <c r="BQ60" s="66">
        <f t="shared" si="49"/>
        <v>30.923821862885671</v>
      </c>
      <c r="BR60" s="69"/>
      <c r="BS60" s="69"/>
      <c r="BT60" s="69">
        <v>316.22800000000001</v>
      </c>
      <c r="BU60" s="69">
        <v>24.722000000000001</v>
      </c>
      <c r="BV60" s="69">
        <v>-265.21839999999997</v>
      </c>
      <c r="BW60" s="75"/>
      <c r="BY60" s="69"/>
      <c r="BZ60" s="69"/>
      <c r="CA60" s="69"/>
      <c r="CC60" s="69"/>
    </row>
    <row r="61" spans="1:81" x14ac:dyDescent="0.2">
      <c r="A61">
        <f t="shared" si="54"/>
        <v>13500</v>
      </c>
      <c r="B61">
        <f t="shared" si="33"/>
        <v>13.5</v>
      </c>
      <c r="C61">
        <f t="shared" si="0"/>
        <v>1.3058239641801446</v>
      </c>
      <c r="D61">
        <f t="shared" si="1"/>
        <v>0.69851189085468735</v>
      </c>
      <c r="F61">
        <f t="shared" si="2"/>
        <v>2.8674160885295296E-2</v>
      </c>
      <c r="G61">
        <f t="shared" si="3"/>
        <v>7.0657494139173396E-2</v>
      </c>
      <c r="H61">
        <f t="shared" si="4"/>
        <v>-3.0709351558608269</v>
      </c>
      <c r="J61">
        <f t="shared" si="5"/>
        <v>15</v>
      </c>
      <c r="M61">
        <f t="shared" si="6"/>
        <v>0.24988882651480113</v>
      </c>
      <c r="N61">
        <f t="shared" si="7"/>
        <v>-1.5707963250000001</v>
      </c>
      <c r="O61">
        <f t="shared" si="8"/>
        <v>4.1233508325957589</v>
      </c>
      <c r="P61">
        <f t="shared" si="9"/>
        <v>1.3258325306131686</v>
      </c>
      <c r="Q61">
        <f t="shared" si="10"/>
        <v>5.6318270907056913</v>
      </c>
      <c r="R61">
        <f t="shared" si="11"/>
        <v>1.3922875243988619</v>
      </c>
      <c r="S61">
        <f t="shared" si="12"/>
        <v>0.89304816013309629</v>
      </c>
      <c r="T61">
        <f t="shared" si="13"/>
        <v>-0.46672177014482902</v>
      </c>
      <c r="U61">
        <f t="shared" si="14"/>
        <v>0.99999883531074385</v>
      </c>
      <c r="V61">
        <f t="shared" si="15"/>
        <v>-1.5262303117369884E-3</v>
      </c>
      <c r="X61">
        <f t="shared" si="34"/>
        <v>9.2797484712410423</v>
      </c>
      <c r="Y61">
        <f t="shared" si="16"/>
        <v>-97.021667141066658</v>
      </c>
      <c r="Z61">
        <f t="shared" si="35"/>
        <v>82.978332858933342</v>
      </c>
      <c r="AC61">
        <v>1</v>
      </c>
      <c r="AD61">
        <f t="shared" si="17"/>
        <v>4.0002527530980005</v>
      </c>
      <c r="AE61">
        <f t="shared" si="18"/>
        <v>-3.3931344547642341E-7</v>
      </c>
      <c r="AF61">
        <f t="shared" si="19"/>
        <v>2.2232108706255E-4</v>
      </c>
      <c r="AG61">
        <f t="shared" si="36"/>
        <v>17986.225507857274</v>
      </c>
      <c r="AH61">
        <f t="shared" si="37"/>
        <v>-4525.4500211449576</v>
      </c>
      <c r="AJ61">
        <f t="shared" si="20"/>
        <v>18000</v>
      </c>
      <c r="AK61">
        <f t="shared" si="21"/>
        <v>9069.2753257259992</v>
      </c>
      <c r="AL61">
        <v>1</v>
      </c>
      <c r="AM61">
        <f t="shared" si="22"/>
        <v>5.5423349212769999</v>
      </c>
      <c r="AN61">
        <f t="shared" si="38"/>
        <v>2152.2822475352914</v>
      </c>
      <c r="AO61">
        <f t="shared" si="39"/>
        <v>-2859.3937352333919</v>
      </c>
      <c r="AQ61">
        <f t="shared" si="23"/>
        <v>13.698630136986301</v>
      </c>
      <c r="AR61">
        <f t="shared" si="24"/>
        <v>-369.86301369863014</v>
      </c>
      <c r="AT61">
        <f t="shared" si="52"/>
        <v>-1427409.932370638</v>
      </c>
      <c r="AU61">
        <f t="shared" si="53"/>
        <v>-6714432.037442348</v>
      </c>
      <c r="AV61">
        <f t="shared" si="42"/>
        <v>-1.7802662374144314</v>
      </c>
      <c r="AW61">
        <f t="shared" si="25"/>
        <v>-988275.6792556881</v>
      </c>
      <c r="AX61">
        <f t="shared" si="26"/>
        <v>-889331.10887447908</v>
      </c>
      <c r="AY61">
        <f t="shared" si="50"/>
        <v>-2.4088429647721035</v>
      </c>
      <c r="BA61">
        <f t="shared" si="27"/>
        <v>5.1631633530992271</v>
      </c>
      <c r="BB61">
        <f t="shared" si="43"/>
        <v>14.258317311044493</v>
      </c>
      <c r="BC61">
        <f t="shared" si="44"/>
        <v>0.62857672735767212</v>
      </c>
      <c r="BD61">
        <f t="shared" si="28"/>
        <v>-143.98520638110705</v>
      </c>
      <c r="BF61">
        <f t="shared" si="29"/>
        <v>9.2476495335425177</v>
      </c>
      <c r="BG61">
        <f t="shared" si="30"/>
        <v>-99.915046839928181</v>
      </c>
      <c r="BH61">
        <f t="shared" si="45"/>
        <v>80.084953160071819</v>
      </c>
      <c r="BI61">
        <f t="shared" si="46"/>
        <v>80.084953160071819</v>
      </c>
      <c r="BJ61">
        <f t="shared" si="31"/>
        <v>0</v>
      </c>
      <c r="BK61">
        <f t="shared" si="47"/>
        <v>0</v>
      </c>
      <c r="BM61">
        <f t="shared" si="48"/>
        <v>-5.0106677775019755</v>
      </c>
      <c r="BN61">
        <f t="shared" si="32"/>
        <v>-135.92984045882113</v>
      </c>
      <c r="BQ61" s="66">
        <f t="shared" si="49"/>
        <v>31.160278111329628</v>
      </c>
      <c r="BR61" s="69"/>
      <c r="BS61" s="69"/>
      <c r="BT61" s="69">
        <v>323.59399999999999</v>
      </c>
      <c r="BU61" s="69">
        <v>24.5962</v>
      </c>
      <c r="BV61" s="69">
        <v>-266.99490000000003</v>
      </c>
      <c r="BW61" s="75"/>
      <c r="BY61" s="69"/>
      <c r="BZ61" s="69"/>
      <c r="CA61" s="69"/>
      <c r="CC61" s="69"/>
    </row>
    <row r="62" spans="1:81" x14ac:dyDescent="0.2">
      <c r="A62">
        <f t="shared" si="54"/>
        <v>14000</v>
      </c>
      <c r="B62">
        <f t="shared" si="33"/>
        <v>14</v>
      </c>
      <c r="C62">
        <f t="shared" si="0"/>
        <v>1.3260387706661725</v>
      </c>
      <c r="D62">
        <f t="shared" si="1"/>
        <v>0.71647442326969213</v>
      </c>
      <c r="F62">
        <f t="shared" si="2"/>
        <v>2.6613370296213499E-2</v>
      </c>
      <c r="G62">
        <f t="shared" si="3"/>
        <v>6.8004087509859146E-2</v>
      </c>
      <c r="H62">
        <f t="shared" si="4"/>
        <v>-3.0735885624901411</v>
      </c>
      <c r="J62">
        <f t="shared" si="5"/>
        <v>15</v>
      </c>
      <c r="M62">
        <f t="shared" si="6"/>
        <v>0.24096422556784397</v>
      </c>
      <c r="N62">
        <f t="shared" si="7"/>
        <v>-1.5707963250000001</v>
      </c>
      <c r="O62">
        <f t="shared" si="8"/>
        <v>4.2672365420472085</v>
      </c>
      <c r="P62">
        <f t="shared" si="9"/>
        <v>1.334252912634879</v>
      </c>
      <c r="Q62">
        <f t="shared" si="10"/>
        <v>5.8339507588132102</v>
      </c>
      <c r="R62">
        <f t="shared" si="11"/>
        <v>1.3985352184778785</v>
      </c>
      <c r="S62">
        <f t="shared" si="12"/>
        <v>0.88630460307326719</v>
      </c>
      <c r="T62">
        <f t="shared" si="13"/>
        <v>-0.48149277343191482</v>
      </c>
      <c r="U62">
        <f t="shared" si="14"/>
        <v>0.9999987474399773</v>
      </c>
      <c r="V62">
        <f t="shared" si="15"/>
        <v>-1.5827572676009656E-3</v>
      </c>
      <c r="X62">
        <f t="shared" si="34"/>
        <v>8.9878373153826132</v>
      </c>
      <c r="Y62">
        <f t="shared" si="16"/>
        <v>-96.153654893895094</v>
      </c>
      <c r="Z62">
        <f t="shared" si="35"/>
        <v>83.846345106104906</v>
      </c>
      <c r="AC62">
        <v>1</v>
      </c>
      <c r="AD62">
        <f t="shared" si="17"/>
        <v>4.1484102624720007</v>
      </c>
      <c r="AE62">
        <f t="shared" si="18"/>
        <v>-3.6491322531346503E-7</v>
      </c>
      <c r="AF62">
        <f t="shared" si="19"/>
        <v>2.305552013982E-4</v>
      </c>
      <c r="AG62">
        <f t="shared" si="36"/>
        <v>17986.22234692689</v>
      </c>
      <c r="AH62">
        <f t="shared" si="37"/>
        <v>-4365.8239081292777</v>
      </c>
      <c r="AJ62">
        <f t="shared" si="20"/>
        <v>18000</v>
      </c>
      <c r="AK62">
        <f t="shared" si="21"/>
        <v>9405.1744118639999</v>
      </c>
      <c r="AL62">
        <v>1</v>
      </c>
      <c r="AM62">
        <f t="shared" si="22"/>
        <v>5.7476065850279996</v>
      </c>
      <c r="AN62">
        <f t="shared" si="38"/>
        <v>2117.1523914469149</v>
      </c>
      <c r="AO62">
        <f t="shared" si="39"/>
        <v>-2763.3846147240629</v>
      </c>
      <c r="AQ62">
        <f t="shared" si="23"/>
        <v>12.738853503184714</v>
      </c>
      <c r="AR62">
        <f t="shared" si="24"/>
        <v>-356.68789808917199</v>
      </c>
      <c r="AT62">
        <f t="shared" si="52"/>
        <v>-1328112.7016648776</v>
      </c>
      <c r="AU62">
        <f t="shared" si="53"/>
        <v>-6471083.4346762067</v>
      </c>
      <c r="AV62">
        <f t="shared" si="42"/>
        <v>-1.7732233855431911</v>
      </c>
      <c r="AW62">
        <f t="shared" si="25"/>
        <v>-918719.7175102334</v>
      </c>
      <c r="AX62">
        <f t="shared" si="26"/>
        <v>-842522.36417442746</v>
      </c>
      <c r="AY62">
        <f t="shared" si="50"/>
        <v>-2.3994309466243804</v>
      </c>
      <c r="BA62">
        <f t="shared" si="27"/>
        <v>5.2993951645229931</v>
      </c>
      <c r="BB62">
        <f t="shared" si="43"/>
        <v>14.484526102583388</v>
      </c>
      <c r="BC62">
        <f t="shared" si="44"/>
        <v>0.62620756108118925</v>
      </c>
      <c r="BD62">
        <f t="shared" si="28"/>
        <v>-144.12094960986934</v>
      </c>
      <c r="BF62">
        <f t="shared" si="29"/>
        <v>8.9594732613563526</v>
      </c>
      <c r="BG62">
        <f t="shared" si="30"/>
        <v>-99.173641772133237</v>
      </c>
      <c r="BH62">
        <f t="shared" si="45"/>
        <v>80.826358227866763</v>
      </c>
      <c r="BI62">
        <f t="shared" si="46"/>
        <v>80.826358227866763</v>
      </c>
      <c r="BJ62">
        <f t="shared" si="31"/>
        <v>0</v>
      </c>
      <c r="BK62">
        <f t="shared" si="47"/>
        <v>0</v>
      </c>
      <c r="BM62">
        <f t="shared" si="48"/>
        <v>-5.5250528412270352</v>
      </c>
      <c r="BN62">
        <f t="shared" si="32"/>
        <v>-135.05269216226387</v>
      </c>
      <c r="BQ62" s="66">
        <f t="shared" si="49"/>
        <v>31.386486902868526</v>
      </c>
      <c r="BR62" s="69"/>
      <c r="BS62" s="69"/>
      <c r="BT62" s="69">
        <v>331.13099999999997</v>
      </c>
      <c r="BU62" s="69">
        <v>24.386800000000001</v>
      </c>
      <c r="BV62" s="69">
        <v>-265.09339999999997</v>
      </c>
      <c r="BW62" s="75"/>
      <c r="BY62" s="69"/>
      <c r="BZ62" s="69"/>
      <c r="CA62" s="69"/>
      <c r="CC62" s="69"/>
    </row>
    <row r="63" spans="1:81" x14ac:dyDescent="0.2">
      <c r="A63">
        <f t="shared" si="54"/>
        <v>14500</v>
      </c>
      <c r="B63">
        <f t="shared" si="33"/>
        <v>14.5</v>
      </c>
      <c r="C63">
        <f t="shared" si="0"/>
        <v>1.3466685030262053</v>
      </c>
      <c r="D63">
        <f t="shared" si="1"/>
        <v>0.73389209500531072</v>
      </c>
      <c r="F63">
        <f t="shared" si="2"/>
        <v>2.4768528180608613E-2</v>
      </c>
      <c r="G63">
        <f t="shared" si="3"/>
        <v>6.5546807917621547E-2</v>
      </c>
      <c r="H63">
        <f t="shared" si="4"/>
        <v>-3.0760458420823786</v>
      </c>
      <c r="J63">
        <f t="shared" si="5"/>
        <v>15</v>
      </c>
      <c r="M63">
        <f t="shared" si="6"/>
        <v>0.23265511434136654</v>
      </c>
      <c r="N63">
        <f t="shared" si="7"/>
        <v>-1.5707963250000001</v>
      </c>
      <c r="O63">
        <f t="shared" si="8"/>
        <v>4.4114050616629745</v>
      </c>
      <c r="P63">
        <f t="shared" si="9"/>
        <v>1.3421234520436305</v>
      </c>
      <c r="Q63">
        <f t="shared" si="10"/>
        <v>6.036286892186796</v>
      </c>
      <c r="R63">
        <f t="shared" si="11"/>
        <v>1.4043642825612834</v>
      </c>
      <c r="S63">
        <f t="shared" si="12"/>
        <v>0.87947455638806793</v>
      </c>
      <c r="T63">
        <f t="shared" si="13"/>
        <v>-0.49603925355609901</v>
      </c>
      <c r="U63">
        <f t="shared" si="14"/>
        <v>0.99999865637393481</v>
      </c>
      <c r="V63">
        <f t="shared" si="15"/>
        <v>-1.639284213350178E-3</v>
      </c>
      <c r="X63">
        <f t="shared" si="34"/>
        <v>8.710685435593982</v>
      </c>
      <c r="Y63">
        <f t="shared" si="16"/>
        <v>-95.348248775502</v>
      </c>
      <c r="Z63">
        <f t="shared" si="35"/>
        <v>84.651751224498</v>
      </c>
      <c r="AC63">
        <v>1</v>
      </c>
      <c r="AD63">
        <f t="shared" si="17"/>
        <v>4.296567771846</v>
      </c>
      <c r="AE63">
        <f t="shared" si="18"/>
        <v>-3.9144390623548998E-7</v>
      </c>
      <c r="AF63">
        <f t="shared" si="19"/>
        <v>2.3878931573385E-4</v>
      </c>
      <c r="AG63">
        <f t="shared" si="36"/>
        <v>17986.219071054751</v>
      </c>
      <c r="AH63">
        <f t="shared" si="37"/>
        <v>-4217.276609536455</v>
      </c>
      <c r="AJ63">
        <f t="shared" si="20"/>
        <v>18000</v>
      </c>
      <c r="AK63">
        <f t="shared" si="21"/>
        <v>9741.0734980020006</v>
      </c>
      <c r="AL63">
        <v>1</v>
      </c>
      <c r="AM63">
        <f t="shared" si="22"/>
        <v>5.9528782487789993</v>
      </c>
      <c r="AN63">
        <f t="shared" si="38"/>
        <v>2085.4605542284853</v>
      </c>
      <c r="AO63">
        <f t="shared" si="39"/>
        <v>-2673.4192739513464</v>
      </c>
      <c r="AQ63">
        <f t="shared" si="23"/>
        <v>11.876484560570072</v>
      </c>
      <c r="AR63">
        <f t="shared" si="24"/>
        <v>-344.41805225653206</v>
      </c>
      <c r="AT63">
        <f t="shared" si="52"/>
        <v>-1238893.1425831644</v>
      </c>
      <c r="AU63">
        <f t="shared" si="53"/>
        <v>-6244864.960452782</v>
      </c>
      <c r="AV63">
        <f t="shared" si="42"/>
        <v>-1.7666393847600048</v>
      </c>
      <c r="AW63">
        <f t="shared" si="25"/>
        <v>-855893.61310919072</v>
      </c>
      <c r="AX63">
        <f t="shared" si="26"/>
        <v>-800361.52771809348</v>
      </c>
      <c r="AY63">
        <f t="shared" si="50"/>
        <v>-2.3897106368339922</v>
      </c>
      <c r="BA63">
        <f t="shared" si="27"/>
        <v>5.433118798359021</v>
      </c>
      <c r="BB63">
        <f t="shared" si="43"/>
        <v>14.700984024869951</v>
      </c>
      <c r="BC63">
        <f t="shared" si="44"/>
        <v>0.62307125207398739</v>
      </c>
      <c r="BD63">
        <f t="shared" si="28"/>
        <v>-144.30064687943621</v>
      </c>
      <c r="BF63">
        <f t="shared" si="29"/>
        <v>8.6860272638955038</v>
      </c>
      <c r="BG63">
        <f t="shared" si="30"/>
        <v>-98.496171711044227</v>
      </c>
      <c r="BH63">
        <f t="shared" si="45"/>
        <v>81.503828288955773</v>
      </c>
      <c r="BI63">
        <f t="shared" si="46"/>
        <v>81.503828288955773</v>
      </c>
      <c r="BJ63">
        <f t="shared" si="31"/>
        <v>0</v>
      </c>
      <c r="BK63">
        <f t="shared" si="47"/>
        <v>0</v>
      </c>
      <c r="BM63">
        <f t="shared" si="48"/>
        <v>-6.0149567609744476</v>
      </c>
      <c r="BN63">
        <f t="shared" si="32"/>
        <v>-134.195524831608</v>
      </c>
      <c r="BQ63" s="66">
        <f t="shared" si="49"/>
        <v>31.602944825155088</v>
      </c>
      <c r="BR63" s="69"/>
      <c r="BS63" s="69"/>
      <c r="BT63" s="69">
        <v>338.84399999999999</v>
      </c>
      <c r="BU63" s="69">
        <v>24.136900000000001</v>
      </c>
      <c r="BV63" s="69">
        <v>-266.42009999999999</v>
      </c>
      <c r="BW63" s="75"/>
      <c r="BY63" s="69"/>
      <c r="BZ63" s="69"/>
      <c r="CA63" s="69"/>
      <c r="CC63" s="69"/>
    </row>
    <row r="64" spans="1:81" x14ac:dyDescent="0.2">
      <c r="A64">
        <f t="shared" si="54"/>
        <v>15000</v>
      </c>
      <c r="B64">
        <f t="shared" si="33"/>
        <v>15</v>
      </c>
      <c r="C64">
        <f t="shared" si="0"/>
        <v>1.3676943856820163</v>
      </c>
      <c r="D64">
        <f t="shared" si="1"/>
        <v>0.75077922870803337</v>
      </c>
      <c r="F64">
        <f t="shared" si="2"/>
        <v>2.3110296941876766E-2</v>
      </c>
      <c r="G64">
        <f t="shared" si="3"/>
        <v>6.3264319646012229E-2</v>
      </c>
      <c r="H64">
        <f t="shared" si="4"/>
        <v>-3.0783283303539881</v>
      </c>
      <c r="J64">
        <f t="shared" si="5"/>
        <v>15</v>
      </c>
      <c r="M64">
        <f t="shared" si="6"/>
        <v>0.22489994386332102</v>
      </c>
      <c r="N64">
        <f t="shared" si="7"/>
        <v>-1.5707963250000001</v>
      </c>
      <c r="O64">
        <f t="shared" si="8"/>
        <v>4.5558295430707467</v>
      </c>
      <c r="P64">
        <f t="shared" si="9"/>
        <v>1.3494954159228756</v>
      </c>
      <c r="Q64">
        <f t="shared" si="10"/>
        <v>6.2388148189534567</v>
      </c>
      <c r="R64">
        <f t="shared" si="11"/>
        <v>1.4098150692307998</v>
      </c>
      <c r="S64">
        <f t="shared" si="12"/>
        <v>0.872568572728319</v>
      </c>
      <c r="T64">
        <f t="shared" si="13"/>
        <v>-0.51036027545719953</v>
      </c>
      <c r="U64">
        <f t="shared" si="14"/>
        <v>0.99999856211261873</v>
      </c>
      <c r="V64">
        <f t="shared" si="15"/>
        <v>-1.6958111486233877E-3</v>
      </c>
      <c r="X64">
        <f t="shared" si="34"/>
        <v>8.4468740011463304</v>
      </c>
      <c r="Y64">
        <f t="shared" si="16"/>
        <v>-94.600547610034155</v>
      </c>
      <c r="Z64">
        <f t="shared" si="35"/>
        <v>85.399452389965845</v>
      </c>
      <c r="AC64">
        <v>1</v>
      </c>
      <c r="AD64">
        <f t="shared" si="17"/>
        <v>4.4447252812200002</v>
      </c>
      <c r="AE64">
        <f t="shared" si="18"/>
        <v>-4.1890548824249804E-7</v>
      </c>
      <c r="AF64">
        <f t="shared" si="19"/>
        <v>2.470234300695E-4</v>
      </c>
      <c r="AG64">
        <f t="shared" si="36"/>
        <v>17986.215680240992</v>
      </c>
      <c r="AH64">
        <f t="shared" si="37"/>
        <v>-4078.7002438501345</v>
      </c>
      <c r="AJ64">
        <f t="shared" si="20"/>
        <v>18000</v>
      </c>
      <c r="AK64">
        <f t="shared" si="21"/>
        <v>10076.97258414</v>
      </c>
      <c r="AL64">
        <v>1</v>
      </c>
      <c r="AM64">
        <f t="shared" si="22"/>
        <v>6.1581499125299999</v>
      </c>
      <c r="AN64">
        <f t="shared" si="38"/>
        <v>2056.776145596983</v>
      </c>
      <c r="AO64">
        <f t="shared" si="39"/>
        <v>-2588.9632569618525</v>
      </c>
      <c r="AQ64">
        <f t="shared" si="23"/>
        <v>11.098779134295228</v>
      </c>
      <c r="AR64">
        <f t="shared" si="24"/>
        <v>-332.96337402885683</v>
      </c>
      <c r="AT64">
        <f t="shared" si="52"/>
        <v>-1158432.7595478694</v>
      </c>
      <c r="AU64">
        <f t="shared" si="53"/>
        <v>-6034019.6520652594</v>
      </c>
      <c r="AV64">
        <f t="shared" si="42"/>
        <v>-1.7604720529372939</v>
      </c>
      <c r="AW64">
        <f t="shared" si="25"/>
        <v>-798966.59547295072</v>
      </c>
      <c r="AX64">
        <f t="shared" si="26"/>
        <v>-762212.34728666162</v>
      </c>
      <c r="AY64">
        <f t="shared" si="50"/>
        <v>-2.3797327656756604</v>
      </c>
      <c r="BA64">
        <f t="shared" si="27"/>
        <v>5.564271211459352</v>
      </c>
      <c r="BB64">
        <f t="shared" si="43"/>
        <v>14.908165800841759</v>
      </c>
      <c r="BC64">
        <f t="shared" si="44"/>
        <v>0.61926071273836647</v>
      </c>
      <c r="BD64">
        <f t="shared" si="28"/>
        <v>-144.51897470128537</v>
      </c>
      <c r="BF64">
        <f t="shared" si="29"/>
        <v>8.4258827797325182</v>
      </c>
      <c r="BG64">
        <f t="shared" si="30"/>
        <v>-97.87771498744938</v>
      </c>
      <c r="BH64">
        <f t="shared" si="45"/>
        <v>82.12228501255062</v>
      </c>
      <c r="BI64">
        <f t="shared" si="46"/>
        <v>82.12228501255062</v>
      </c>
      <c r="BJ64">
        <f t="shared" si="31"/>
        <v>0</v>
      </c>
      <c r="BK64">
        <f t="shared" si="47"/>
        <v>0</v>
      </c>
      <c r="BM64">
        <f t="shared" si="48"/>
        <v>-6.4822830211092421</v>
      </c>
      <c r="BN64">
        <f t="shared" si="32"/>
        <v>-133.35874028616402</v>
      </c>
      <c r="BQ64" s="66">
        <f t="shared" si="49"/>
        <v>31.810126601126896</v>
      </c>
      <c r="BR64" s="69"/>
      <c r="BS64" s="69"/>
      <c r="BT64" s="69">
        <v>346.73700000000002</v>
      </c>
      <c r="BU64" s="69">
        <v>24.040400000000002</v>
      </c>
      <c r="BV64" s="69">
        <v>-265.87940000000003</v>
      </c>
      <c r="BW64" s="75"/>
      <c r="BY64" s="69"/>
      <c r="BZ64" s="69"/>
      <c r="CA64" s="69"/>
      <c r="CC64" s="69"/>
    </row>
    <row r="65" spans="1:81" x14ac:dyDescent="0.2">
      <c r="A65">
        <f t="shared" si="54"/>
        <v>15500</v>
      </c>
      <c r="B65">
        <f t="shared" si="33"/>
        <v>15.5</v>
      </c>
      <c r="C65">
        <f t="shared" si="0"/>
        <v>1.3890984299392377</v>
      </c>
      <c r="D65">
        <f t="shared" si="1"/>
        <v>0.76715049912663469</v>
      </c>
      <c r="F65">
        <f t="shared" si="2"/>
        <v>2.1614184740651039E-2</v>
      </c>
      <c r="G65">
        <f t="shared" si="3"/>
        <v>6.1138315083172842E-2</v>
      </c>
      <c r="H65">
        <f t="shared" si="4"/>
        <v>-3.0804543349168272</v>
      </c>
      <c r="J65">
        <f t="shared" si="5"/>
        <v>15</v>
      </c>
      <c r="M65">
        <f t="shared" si="6"/>
        <v>0.21764510696450423</v>
      </c>
      <c r="N65">
        <f t="shared" si="7"/>
        <v>-1.5707963250000001</v>
      </c>
      <c r="O65">
        <f t="shared" si="8"/>
        <v>4.7004863927187932</v>
      </c>
      <c r="P65">
        <f t="shared" si="9"/>
        <v>1.3564139943287066</v>
      </c>
      <c r="Q65">
        <f t="shared" si="10"/>
        <v>6.4415164485917886</v>
      </c>
      <c r="R65">
        <f t="shared" si="11"/>
        <v>1.4149229491117534</v>
      </c>
      <c r="S65">
        <f t="shared" si="12"/>
        <v>0.8655968226368147</v>
      </c>
      <c r="T65">
        <f t="shared" si="13"/>
        <v>-0.52445530264866147</v>
      </c>
      <c r="U65">
        <f t="shared" si="14"/>
        <v>0.9999984646560317</v>
      </c>
      <c r="V65">
        <f t="shared" si="15"/>
        <v>-1.7523380730593574E-3</v>
      </c>
      <c r="X65">
        <f t="shared" si="34"/>
        <v>8.195159065447319</v>
      </c>
      <c r="Y65">
        <f t="shared" si="16"/>
        <v>-93.906113019732729</v>
      </c>
      <c r="Z65">
        <f t="shared" si="35"/>
        <v>86.093886980267271</v>
      </c>
      <c r="AC65">
        <v>1</v>
      </c>
      <c r="AD65">
        <f t="shared" si="17"/>
        <v>4.5928827905940004</v>
      </c>
      <c r="AE65">
        <f t="shared" si="18"/>
        <v>-4.472979713344897E-7</v>
      </c>
      <c r="AF65">
        <f t="shared" si="19"/>
        <v>2.5525754440515003E-4</v>
      </c>
      <c r="AG65">
        <f t="shared" si="36"/>
        <v>17986.21217448574</v>
      </c>
      <c r="AH65">
        <f t="shared" si="37"/>
        <v>-3949.1298820051684</v>
      </c>
      <c r="AJ65">
        <f t="shared" si="20"/>
        <v>18000</v>
      </c>
      <c r="AK65">
        <f t="shared" si="21"/>
        <v>10412.871670277998</v>
      </c>
      <c r="AL65">
        <v>1</v>
      </c>
      <c r="AM65">
        <f t="shared" si="22"/>
        <v>6.3634215762810005</v>
      </c>
      <c r="AN65">
        <f t="shared" si="38"/>
        <v>2030.7333723669851</v>
      </c>
      <c r="AO65">
        <f t="shared" si="39"/>
        <v>-2509.5408871159525</v>
      </c>
      <c r="AQ65">
        <f t="shared" si="23"/>
        <v>10.395010395010395</v>
      </c>
      <c r="AR65">
        <f t="shared" si="24"/>
        <v>-322.24532224532226</v>
      </c>
      <c r="AT65">
        <f t="shared" si="52"/>
        <v>-1085621.768894745</v>
      </c>
      <c r="AU65">
        <f t="shared" si="53"/>
        <v>-5837023.984314586</v>
      </c>
      <c r="AV65">
        <f t="shared" si="42"/>
        <v>-1.7546841148988919</v>
      </c>
      <c r="AW65">
        <f t="shared" si="25"/>
        <v>-747230.69940719823</v>
      </c>
      <c r="AX65">
        <f t="shared" si="26"/>
        <v>-727545.56627328787</v>
      </c>
      <c r="AY65">
        <f t="shared" si="50"/>
        <v>-2.3695415752005529</v>
      </c>
      <c r="BA65">
        <f t="shared" si="27"/>
        <v>5.6928033686792583</v>
      </c>
      <c r="BB65">
        <f t="shared" si="43"/>
        <v>15.106523667896674</v>
      </c>
      <c r="BC65">
        <f t="shared" si="44"/>
        <v>0.614857460301661</v>
      </c>
      <c r="BD65">
        <f t="shared" si="28"/>
        <v>-144.77126248232756</v>
      </c>
      <c r="BF65">
        <f t="shared" si="29"/>
        <v>8.1777864408038834</v>
      </c>
      <c r="BG65">
        <f t="shared" si="30"/>
        <v>-97.313809155981957</v>
      </c>
      <c r="BH65">
        <f t="shared" si="45"/>
        <v>82.686190844018043</v>
      </c>
      <c r="BI65">
        <f t="shared" si="46"/>
        <v>82.686190844018043</v>
      </c>
      <c r="BJ65">
        <f t="shared" si="31"/>
        <v>0</v>
      </c>
      <c r="BK65">
        <f t="shared" si="47"/>
        <v>0</v>
      </c>
      <c r="BM65">
        <f t="shared" si="48"/>
        <v>-6.9287372270927907</v>
      </c>
      <c r="BN65">
        <f t="shared" si="32"/>
        <v>-132.54254667365441</v>
      </c>
      <c r="BQ65" s="66">
        <f t="shared" si="49"/>
        <v>32.008484468181813</v>
      </c>
      <c r="BR65" s="69"/>
      <c r="BS65" s="69"/>
      <c r="BT65" s="69">
        <v>354.81299999999999</v>
      </c>
      <c r="BU65" s="69">
        <v>23.629000000000001</v>
      </c>
      <c r="BV65" s="69">
        <v>-265.95490000000001</v>
      </c>
      <c r="BW65" s="75"/>
      <c r="BY65" s="69"/>
      <c r="BZ65" s="69"/>
      <c r="CA65" s="69"/>
      <c r="CC65" s="69"/>
    </row>
    <row r="66" spans="1:81" x14ac:dyDescent="0.2">
      <c r="A66">
        <f t="shared" si="54"/>
        <v>16000</v>
      </c>
      <c r="B66">
        <f t="shared" si="33"/>
        <v>16</v>
      </c>
      <c r="C66">
        <f t="shared" si="0"/>
        <v>1.4108634247663672</v>
      </c>
      <c r="D66">
        <f t="shared" si="1"/>
        <v>0.78302080518755224</v>
      </c>
      <c r="F66">
        <f t="shared" si="2"/>
        <v>2.0259611021136808E-2</v>
      </c>
      <c r="G66">
        <f t="shared" si="3"/>
        <v>5.9152990245044272E-2</v>
      </c>
      <c r="H66">
        <f t="shared" si="4"/>
        <v>-3.0824396597549559</v>
      </c>
      <c r="J66">
        <f t="shared" si="5"/>
        <v>15</v>
      </c>
      <c r="M66">
        <f t="shared" si="6"/>
        <v>0.21084369737186343</v>
      </c>
      <c r="N66">
        <f t="shared" si="7"/>
        <v>-1.5707963250000001</v>
      </c>
      <c r="O66">
        <f t="shared" si="8"/>
        <v>4.8453547987655838</v>
      </c>
      <c r="P66">
        <f t="shared" si="9"/>
        <v>1.3629191598022001</v>
      </c>
      <c r="Q66">
        <f t="shared" si="10"/>
        <v>6.6443758835305289</v>
      </c>
      <c r="R66">
        <f t="shared" si="11"/>
        <v>1.4197190504842774</v>
      </c>
      <c r="S66">
        <f t="shared" si="12"/>
        <v>0.85856907875274746</v>
      </c>
      <c r="T66">
        <f t="shared" si="13"/>
        <v>-0.53832417454415138</v>
      </c>
      <c r="U66">
        <f t="shared" si="14"/>
        <v>0.99999836400417674</v>
      </c>
      <c r="V66">
        <f t="shared" si="15"/>
        <v>-1.8088649862968501E-3</v>
      </c>
      <c r="X66">
        <f t="shared" si="34"/>
        <v>7.9544453976381737</v>
      </c>
      <c r="Y66">
        <f t="shared" si="16"/>
        <v>-93.260913882659906</v>
      </c>
      <c r="Z66">
        <f t="shared" si="35"/>
        <v>86.739086117340094</v>
      </c>
      <c r="AC66">
        <v>1</v>
      </c>
      <c r="AD66">
        <f t="shared" si="17"/>
        <v>4.7410402999680006</v>
      </c>
      <c r="AE66">
        <f t="shared" si="18"/>
        <v>-4.7662135551146447E-7</v>
      </c>
      <c r="AF66">
        <f t="shared" si="19"/>
        <v>2.634916587408E-4</v>
      </c>
      <c r="AG66">
        <f t="shared" si="36"/>
        <v>17986.208553789125</v>
      </c>
      <c r="AH66">
        <f t="shared" si="37"/>
        <v>-3827.7212110671185</v>
      </c>
      <c r="AJ66">
        <f t="shared" si="20"/>
        <v>18000</v>
      </c>
      <c r="AK66">
        <f t="shared" si="21"/>
        <v>10748.770756415999</v>
      </c>
      <c r="AL66">
        <v>1</v>
      </c>
      <c r="AM66">
        <f t="shared" si="22"/>
        <v>6.5686932400320002</v>
      </c>
      <c r="AN66">
        <f t="shared" si="38"/>
        <v>2007.0199767202103</v>
      </c>
      <c r="AO66">
        <f t="shared" si="39"/>
        <v>-2434.7277972752277</v>
      </c>
      <c r="AQ66">
        <f t="shared" si="23"/>
        <v>9.7560975609756095</v>
      </c>
      <c r="AR66">
        <f t="shared" si="24"/>
        <v>-312.19512195121951</v>
      </c>
      <c r="AT66">
        <f t="shared" si="52"/>
        <v>-1019520.684881548</v>
      </c>
      <c r="AU66">
        <f t="shared" si="53"/>
        <v>-5652550.1944616493</v>
      </c>
      <c r="AV66">
        <f t="shared" si="42"/>
        <v>-1.7492425253436215</v>
      </c>
      <c r="AW66">
        <f t="shared" si="25"/>
        <v>-700079.88125806453</v>
      </c>
      <c r="AX66">
        <f t="shared" si="26"/>
        <v>-695918.02784893534</v>
      </c>
      <c r="AY66">
        <f t="shared" si="50"/>
        <v>-2.3591757561755249</v>
      </c>
      <c r="BA66">
        <f t="shared" si="27"/>
        <v>5.8186785961012495</v>
      </c>
      <c r="BB66">
        <f t="shared" si="43"/>
        <v>15.29648737829101</v>
      </c>
      <c r="BC66">
        <f t="shared" si="44"/>
        <v>0.60993323083190343</v>
      </c>
      <c r="BD66">
        <f t="shared" si="28"/>
        <v>-145.053400048621</v>
      </c>
      <c r="BF66">
        <f t="shared" si="29"/>
        <v>7.9406341140076</v>
      </c>
      <c r="BG66">
        <f t="shared" si="30"/>
        <v>-96.800395898682154</v>
      </c>
      <c r="BH66">
        <f t="shared" si="45"/>
        <v>83.199604101317846</v>
      </c>
      <c r="BI66">
        <f t="shared" si="46"/>
        <v>83.199604101317846</v>
      </c>
      <c r="BJ66">
        <f t="shared" si="31"/>
        <v>0</v>
      </c>
      <c r="BK66">
        <f t="shared" si="47"/>
        <v>0</v>
      </c>
      <c r="BM66">
        <f t="shared" si="48"/>
        <v>-7.3558532642834109</v>
      </c>
      <c r="BN66">
        <f t="shared" si="32"/>
        <v>-131.74699585006115</v>
      </c>
      <c r="BQ66" s="66">
        <f t="shared" si="49"/>
        <v>32.198448178576143</v>
      </c>
      <c r="BR66" s="69"/>
      <c r="BS66" s="69"/>
      <c r="BT66" s="69">
        <v>363.07799999999997</v>
      </c>
      <c r="BU66" s="69">
        <v>23.6126</v>
      </c>
      <c r="BV66" s="69">
        <v>-265.39159999999998</v>
      </c>
      <c r="BW66" s="75"/>
      <c r="BY66" s="69"/>
      <c r="BZ66" s="69"/>
      <c r="CA66" s="69"/>
      <c r="CC66" s="69"/>
    </row>
    <row r="67" spans="1:81" x14ac:dyDescent="0.2">
      <c r="A67">
        <f t="shared" si="54"/>
        <v>16500</v>
      </c>
      <c r="B67">
        <f t="shared" si="33"/>
        <v>16.5</v>
      </c>
      <c r="C67">
        <f t="shared" si="0"/>
        <v>1.4329729231487911</v>
      </c>
      <c r="D67">
        <f t="shared" si="1"/>
        <v>0.79840515828280445</v>
      </c>
      <c r="F67">
        <f t="shared" si="2"/>
        <v>1.9029176655971598E-2</v>
      </c>
      <c r="G67">
        <f t="shared" si="3"/>
        <v>5.7294626545168557E-2</v>
      </c>
      <c r="H67">
        <f t="shared" si="4"/>
        <v>-3.0842980234548318</v>
      </c>
      <c r="J67">
        <f t="shared" si="5"/>
        <v>15</v>
      </c>
      <c r="M67">
        <f t="shared" si="6"/>
        <v>0.20445449442120092</v>
      </c>
      <c r="N67">
        <f t="shared" si="7"/>
        <v>-1.5707963250000001</v>
      </c>
      <c r="O67">
        <f t="shared" si="8"/>
        <v>4.9904163372282495</v>
      </c>
      <c r="P67">
        <f t="shared" si="9"/>
        <v>1.3690463875510384</v>
      </c>
      <c r="Q67">
        <f t="shared" si="10"/>
        <v>6.847379098434951</v>
      </c>
      <c r="R67">
        <f t="shared" si="11"/>
        <v>1.4242308719872905</v>
      </c>
      <c r="S67">
        <f t="shared" si="12"/>
        <v>0.85149470385945936</v>
      </c>
      <c r="T67">
        <f t="shared" si="13"/>
        <v>-0.5519670836016598</v>
      </c>
      <c r="U67">
        <f t="shared" si="14"/>
        <v>0.99999826015705662</v>
      </c>
      <c r="V67">
        <f t="shared" si="15"/>
        <v>-1.865391887974629E-3</v>
      </c>
      <c r="X67">
        <f t="shared" si="34"/>
        <v>7.7237650100517303</v>
      </c>
      <c r="Y67">
        <f t="shared" si="16"/>
        <v>-92.6612790178892</v>
      </c>
      <c r="Z67">
        <f t="shared" si="35"/>
        <v>87.3387209821108</v>
      </c>
      <c r="AC67">
        <v>1</v>
      </c>
      <c r="AD67">
        <f t="shared" si="17"/>
        <v>4.8891978093420008</v>
      </c>
      <c r="AE67">
        <f t="shared" si="18"/>
        <v>-5.0687564077342272E-7</v>
      </c>
      <c r="AF67">
        <f t="shared" si="19"/>
        <v>2.7172577307645003E-4</v>
      </c>
      <c r="AG67">
        <f t="shared" si="36"/>
        <v>17986.204818151287</v>
      </c>
      <c r="AH67">
        <f t="shared" si="37"/>
        <v>-3713.7322590609306</v>
      </c>
      <c r="AJ67">
        <f t="shared" si="20"/>
        <v>18000</v>
      </c>
      <c r="AK67">
        <f t="shared" si="21"/>
        <v>11084.669842554</v>
      </c>
      <c r="AL67">
        <v>1</v>
      </c>
      <c r="AM67">
        <f t="shared" si="22"/>
        <v>6.7739649037829999</v>
      </c>
      <c r="AN67">
        <f t="shared" si="38"/>
        <v>1985.3681746104355</v>
      </c>
      <c r="AO67">
        <f t="shared" si="39"/>
        <v>-2364.1444933448074</v>
      </c>
      <c r="AQ67">
        <f t="shared" si="23"/>
        <v>9.1743119266055047</v>
      </c>
      <c r="AR67">
        <f t="shared" si="24"/>
        <v>-302.75229357798167</v>
      </c>
      <c r="AT67">
        <f t="shared" si="52"/>
        <v>-959329.90578770125</v>
      </c>
      <c r="AU67">
        <f t="shared" si="53"/>
        <v>-5479435.6996151693</v>
      </c>
      <c r="AV67">
        <f t="shared" si="42"/>
        <v>-1.7441178980079544</v>
      </c>
      <c r="AW67">
        <f t="shared" si="25"/>
        <v>-656993.10859010043</v>
      </c>
      <c r="AX67">
        <f t="shared" si="26"/>
        <v>-666956.36659818341</v>
      </c>
      <c r="AY67">
        <f t="shared" si="50"/>
        <v>-2.348669225729993</v>
      </c>
      <c r="BA67">
        <f t="shared" si="27"/>
        <v>5.9418711593461895</v>
      </c>
      <c r="BB67">
        <f t="shared" si="43"/>
        <v>15.478464610774518</v>
      </c>
      <c r="BC67">
        <f t="shared" si="44"/>
        <v>0.60455132772203868</v>
      </c>
      <c r="BD67">
        <f t="shared" si="28"/>
        <v>-145.36176038291694</v>
      </c>
      <c r="BF67">
        <f t="shared" si="29"/>
        <v>7.7134494340219453</v>
      </c>
      <c r="BG67">
        <f t="shared" si="30"/>
        <v>-96.333774125998772</v>
      </c>
      <c r="BH67">
        <f t="shared" si="45"/>
        <v>83.666225874001228</v>
      </c>
      <c r="BI67">
        <f t="shared" si="46"/>
        <v>83.666225874001228</v>
      </c>
      <c r="BJ67">
        <f t="shared" si="31"/>
        <v>0</v>
      </c>
      <c r="BK67">
        <f t="shared" si="47"/>
        <v>0</v>
      </c>
      <c r="BM67">
        <f t="shared" si="48"/>
        <v>-7.7650151767525735</v>
      </c>
      <c r="BN67">
        <f t="shared" si="32"/>
        <v>-130.97201374308185</v>
      </c>
      <c r="BQ67" s="66">
        <f t="shared" si="49"/>
        <v>32.380425411059655</v>
      </c>
      <c r="BR67" s="69"/>
      <c r="BS67" s="69"/>
      <c r="BT67" s="69">
        <v>371.53500000000003</v>
      </c>
      <c r="BU67" s="69">
        <v>23.315999999999999</v>
      </c>
      <c r="BV67" s="69">
        <v>-265.2439</v>
      </c>
      <c r="BW67" s="75"/>
      <c r="BY67" s="69"/>
      <c r="BZ67" s="69"/>
      <c r="CA67" s="69"/>
      <c r="CC67" s="69"/>
    </row>
    <row r="68" spans="1:81" x14ac:dyDescent="0.2">
      <c r="A68">
        <f t="shared" si="54"/>
        <v>17000</v>
      </c>
      <c r="B68">
        <f t="shared" si="33"/>
        <v>17</v>
      </c>
      <c r="C68">
        <f t="shared" si="0"/>
        <v>1.4554112248646356</v>
      </c>
      <c r="D68">
        <f t="shared" si="1"/>
        <v>0.81331858557345438</v>
      </c>
      <c r="F68">
        <f t="shared" si="2"/>
        <v>1.7908088857312016E-2</v>
      </c>
      <c r="G68">
        <f t="shared" si="3"/>
        <v>5.5551254365363144E-2</v>
      </c>
      <c r="H68">
        <f t="shared" si="4"/>
        <v>-3.0860413956346369</v>
      </c>
      <c r="J68">
        <f t="shared" si="5"/>
        <v>15</v>
      </c>
      <c r="M68">
        <f t="shared" si="6"/>
        <v>0.19844112693822444</v>
      </c>
      <c r="N68">
        <f t="shared" si="7"/>
        <v>-1.5707963250000001</v>
      </c>
      <c r="O68">
        <f t="shared" si="8"/>
        <v>5.1356546424965517</v>
      </c>
      <c r="P68">
        <f t="shared" si="9"/>
        <v>1.3748272614677213</v>
      </c>
      <c r="Q68">
        <f t="shared" si="10"/>
        <v>7.0505136738824765</v>
      </c>
      <c r="R68">
        <f t="shared" si="11"/>
        <v>1.428482792909904</v>
      </c>
      <c r="S68">
        <f t="shared" si="12"/>
        <v>0.84438264250289852</v>
      </c>
      <c r="T68">
        <f t="shared" si="13"/>
        <v>-0.56538455247349162</v>
      </c>
      <c r="U68">
        <f t="shared" si="14"/>
        <v>0.99999815311467433</v>
      </c>
      <c r="V68">
        <f t="shared" si="15"/>
        <v>-1.9219187777314583E-3</v>
      </c>
      <c r="X68">
        <f t="shared" si="34"/>
        <v>7.502259396150456</v>
      </c>
      <c r="Y68">
        <f t="shared" si="16"/>
        <v>-92.103856732750003</v>
      </c>
      <c r="Z68">
        <f t="shared" si="35"/>
        <v>87.896143267249997</v>
      </c>
      <c r="AC68">
        <v>1</v>
      </c>
      <c r="AD68">
        <f t="shared" si="17"/>
        <v>5.0373553187160001</v>
      </c>
      <c r="AE68">
        <f t="shared" si="18"/>
        <v>-5.3806082712036431E-7</v>
      </c>
      <c r="AF68">
        <f t="shared" si="19"/>
        <v>2.799598874121E-4</v>
      </c>
      <c r="AG68">
        <f t="shared" si="36"/>
        <v>17986.200967572371</v>
      </c>
      <c r="AH68">
        <f t="shared" si="37"/>
        <v>-3606.5083448298537</v>
      </c>
      <c r="AJ68">
        <f t="shared" si="20"/>
        <v>18000</v>
      </c>
      <c r="AK68">
        <f t="shared" si="21"/>
        <v>11420.568928692001</v>
      </c>
      <c r="AL68">
        <v>1</v>
      </c>
      <c r="AM68">
        <f t="shared" si="22"/>
        <v>6.9792365675339996</v>
      </c>
      <c r="AN68">
        <f t="shared" si="38"/>
        <v>1965.5473205770245</v>
      </c>
      <c r="AO68">
        <f t="shared" si="39"/>
        <v>-2297.450806297642</v>
      </c>
      <c r="AQ68">
        <f t="shared" si="23"/>
        <v>8.6430423509075194</v>
      </c>
      <c r="AR68">
        <f t="shared" si="24"/>
        <v>-293.86343993085563</v>
      </c>
      <c r="AT68">
        <f t="shared" si="52"/>
        <v>-904365.45165637543</v>
      </c>
      <c r="AU68">
        <f t="shared" si="53"/>
        <v>-5316658.0919817667</v>
      </c>
      <c r="AV68">
        <f t="shared" si="42"/>
        <v>-1.7392840226957982</v>
      </c>
      <c r="AW68">
        <f t="shared" si="25"/>
        <v>-617520.59486580465</v>
      </c>
      <c r="AX68">
        <f t="shared" si="26"/>
        <v>-640344.17921426671</v>
      </c>
      <c r="AY68">
        <f t="shared" si="50"/>
        <v>-2.3380517767823439</v>
      </c>
      <c r="BA68">
        <f t="shared" si="27"/>
        <v>6.0623650241468745</v>
      </c>
      <c r="BB68">
        <f t="shared" si="43"/>
        <v>15.652841646900789</v>
      </c>
      <c r="BC68">
        <f t="shared" si="44"/>
        <v>0.5987677540865457</v>
      </c>
      <c r="BD68">
        <f t="shared" si="28"/>
        <v>-145.69313474311247</v>
      </c>
      <c r="BF68">
        <f t="shared" si="29"/>
        <v>7.4953660423847568</v>
      </c>
      <c r="BG68">
        <f t="shared" si="30"/>
        <v>-95.910559911525951</v>
      </c>
      <c r="BH68">
        <f t="shared" si="45"/>
        <v>84.089440088474049</v>
      </c>
      <c r="BI68">
        <f t="shared" si="46"/>
        <v>84.089440088474049</v>
      </c>
      <c r="BJ68">
        <f t="shared" si="31"/>
        <v>0</v>
      </c>
      <c r="BK68">
        <f t="shared" si="47"/>
        <v>0</v>
      </c>
      <c r="BM68">
        <f t="shared" si="48"/>
        <v>-8.1574756045160317</v>
      </c>
      <c r="BN68">
        <f t="shared" si="32"/>
        <v>-130.21742516841348</v>
      </c>
      <c r="BQ68" s="66">
        <f t="shared" si="49"/>
        <v>32.554802447185928</v>
      </c>
      <c r="BR68" s="69"/>
      <c r="BS68" s="69"/>
      <c r="BT68" s="69">
        <v>380.18900000000002</v>
      </c>
      <c r="BU68" s="69">
        <v>23.2133</v>
      </c>
      <c r="BV68" s="69">
        <v>-265.49869999999999</v>
      </c>
      <c r="BW68" s="75"/>
      <c r="BY68" s="69"/>
      <c r="BZ68" s="69"/>
      <c r="CA68" s="69"/>
      <c r="CC68" s="69"/>
    </row>
    <row r="69" spans="1:81" x14ac:dyDescent="0.2">
      <c r="A69">
        <f t="shared" si="54"/>
        <v>17500</v>
      </c>
      <c r="B69">
        <f t="shared" si="33"/>
        <v>17.5</v>
      </c>
      <c r="C69">
        <f t="shared" si="0"/>
        <v>1.4781633564314354</v>
      </c>
      <c r="D69">
        <f t="shared" si="1"/>
        <v>0.82777604706156682</v>
      </c>
      <c r="F69">
        <f t="shared" si="2"/>
        <v>1.6883704309452439E-2</v>
      </c>
      <c r="G69">
        <f t="shared" si="3"/>
        <v>5.3912380235163281E-2</v>
      </c>
      <c r="H69">
        <f t="shared" si="4"/>
        <v>-3.0876802697648369</v>
      </c>
      <c r="J69">
        <f t="shared" si="5"/>
        <v>15</v>
      </c>
      <c r="M69">
        <f t="shared" si="6"/>
        <v>0.19277138045427517</v>
      </c>
      <c r="N69">
        <f t="shared" si="7"/>
        <v>-1.5707963250000001</v>
      </c>
      <c r="O69">
        <f t="shared" si="8"/>
        <v>5.2810551303963829</v>
      </c>
      <c r="P69">
        <f t="shared" si="9"/>
        <v>1.3802899861932629</v>
      </c>
      <c r="Q69">
        <f t="shared" si="10"/>
        <v>7.2537685740173652</v>
      </c>
      <c r="R69">
        <f t="shared" si="11"/>
        <v>1.4324965003507015</v>
      </c>
      <c r="S69">
        <f t="shared" si="12"/>
        <v>0.83724141589634471</v>
      </c>
      <c r="T69">
        <f t="shared" si="13"/>
        <v>-0.57857741133034235</v>
      </c>
      <c r="U69">
        <f t="shared" si="14"/>
        <v>0.99999804287703309</v>
      </c>
      <c r="V69">
        <f t="shared" si="15"/>
        <v>-1.9784456552061022E-3</v>
      </c>
      <c r="X69">
        <f t="shared" si="34"/>
        <v>7.289164727360971</v>
      </c>
      <c r="Y69">
        <f t="shared" si="16"/>
        <v>-91.585580092974112</v>
      </c>
      <c r="Z69">
        <f t="shared" si="35"/>
        <v>88.414419907025888</v>
      </c>
      <c r="AC69">
        <v>1</v>
      </c>
      <c r="AD69">
        <f t="shared" si="17"/>
        <v>5.1855128280900002</v>
      </c>
      <c r="AE69">
        <f t="shared" si="18"/>
        <v>-5.7017691455228906E-7</v>
      </c>
      <c r="AF69">
        <f t="shared" si="19"/>
        <v>2.8819400174775003E-4</v>
      </c>
      <c r="AG69">
        <f t="shared" si="36"/>
        <v>17986.197002052522</v>
      </c>
      <c r="AH69">
        <f t="shared" si="37"/>
        <v>-3505.4696079185392</v>
      </c>
      <c r="AJ69">
        <f t="shared" si="20"/>
        <v>18000</v>
      </c>
      <c r="AK69">
        <f t="shared" si="21"/>
        <v>11756.468014829999</v>
      </c>
      <c r="AL69">
        <v>1</v>
      </c>
      <c r="AM69">
        <f t="shared" si="22"/>
        <v>7.1845082312849993</v>
      </c>
      <c r="AN69">
        <f t="shared" si="38"/>
        <v>1947.3579359842918</v>
      </c>
      <c r="AO69">
        <f t="shared" si="39"/>
        <v>-2234.341105507312</v>
      </c>
      <c r="AQ69">
        <f t="shared" si="23"/>
        <v>8.1566068515497552</v>
      </c>
      <c r="AR69">
        <f t="shared" si="24"/>
        <v>-285.48123980424145</v>
      </c>
      <c r="AT69">
        <f t="shared" si="52"/>
        <v>-854039.47206440754</v>
      </c>
      <c r="AU69">
        <f t="shared" si="53"/>
        <v>-5163314.5569311325</v>
      </c>
      <c r="AV69">
        <f t="shared" si="42"/>
        <v>-1.7347174552129763</v>
      </c>
      <c r="AW69">
        <f t="shared" si="25"/>
        <v>-581272.53683154145</v>
      </c>
      <c r="AX69">
        <f t="shared" si="26"/>
        <v>-615811.8562081937</v>
      </c>
      <c r="AY69">
        <f t="shared" si="50"/>
        <v>-2.3273496235828359</v>
      </c>
      <c r="BA69">
        <f t="shared" si="27"/>
        <v>6.1801527664358362</v>
      </c>
      <c r="BB69">
        <f t="shared" si="43"/>
        <v>15.819984209867265</v>
      </c>
      <c r="BC69">
        <f t="shared" si="44"/>
        <v>0.59263216836985966</v>
      </c>
      <c r="BD69">
        <f t="shared" si="28"/>
        <v>-146.04467790992103</v>
      </c>
      <c r="BF69">
        <f t="shared" si="29"/>
        <v>7.2856127816768446</v>
      </c>
      <c r="BG69">
        <f t="shared" si="30"/>
        <v>-95.527652122567147</v>
      </c>
      <c r="BH69">
        <f t="shared" si="45"/>
        <v>84.472347877432853</v>
      </c>
      <c r="BI69">
        <f t="shared" si="46"/>
        <v>84.472347877432853</v>
      </c>
      <c r="BJ69">
        <f t="shared" si="31"/>
        <v>0</v>
      </c>
      <c r="BK69">
        <f t="shared" si="47"/>
        <v>0</v>
      </c>
      <c r="BM69">
        <f t="shared" si="48"/>
        <v>-8.5343714281904184</v>
      </c>
      <c r="BN69">
        <f t="shared" si="32"/>
        <v>-129.48297421264613</v>
      </c>
      <c r="BQ69" s="66">
        <f t="shared" si="49"/>
        <v>32.721945010152396</v>
      </c>
      <c r="BR69" s="69"/>
      <c r="BS69" s="69"/>
      <c r="BT69" s="69">
        <v>389.04500000000002</v>
      </c>
      <c r="BU69" s="69">
        <v>22.955200000000001</v>
      </c>
      <c r="BV69" s="69">
        <v>-266.06720000000001</v>
      </c>
      <c r="BW69" s="75"/>
      <c r="BY69" s="69"/>
      <c r="BZ69" s="69"/>
      <c r="CA69" s="69"/>
      <c r="CC69" s="69"/>
    </row>
    <row r="70" spans="1:81" x14ac:dyDescent="0.2">
      <c r="A70">
        <f t="shared" si="54"/>
        <v>18000</v>
      </c>
      <c r="B70">
        <f t="shared" si="33"/>
        <v>18</v>
      </c>
      <c r="C70">
        <f t="shared" si="0"/>
        <v>1.5012150488792719</v>
      </c>
      <c r="D70">
        <f t="shared" si="1"/>
        <v>0.84179236517498457</v>
      </c>
      <c r="F70">
        <f t="shared" si="2"/>
        <v>1.5945163440389903E-2</v>
      </c>
      <c r="G70">
        <f t="shared" si="3"/>
        <v>5.2368763931239425E-2</v>
      </c>
      <c r="H70">
        <f t="shared" si="4"/>
        <v>-3.0892238860687606</v>
      </c>
      <c r="J70">
        <f t="shared" si="5"/>
        <v>15</v>
      </c>
      <c r="M70">
        <f t="shared" si="6"/>
        <v>0.18741661988610084</v>
      </c>
      <c r="N70">
        <f t="shared" si="7"/>
        <v>-1.5707963250000001</v>
      </c>
      <c r="O70">
        <f t="shared" si="8"/>
        <v>5.4266047643755435</v>
      </c>
      <c r="P70">
        <f t="shared" si="9"/>
        <v>1.3854598215238951</v>
      </c>
      <c r="Q70">
        <f t="shared" si="10"/>
        <v>7.4571339599794157</v>
      </c>
      <c r="R70">
        <f t="shared" si="11"/>
        <v>1.4362913485170181</v>
      </c>
      <c r="S70">
        <f t="shared" si="12"/>
        <v>0.83007911982105786</v>
      </c>
      <c r="T70">
        <f t="shared" si="13"/>
        <v>-0.59154677550765722</v>
      </c>
      <c r="U70">
        <f t="shared" si="14"/>
        <v>0.9999979294441359</v>
      </c>
      <c r="V70">
        <f t="shared" si="15"/>
        <v>-2.034972520037326E-3</v>
      </c>
      <c r="X70">
        <f t="shared" si="34"/>
        <v>7.083799430057538</v>
      </c>
      <c r="Y70">
        <f t="shared" si="16"/>
        <v>-91.103636971680672</v>
      </c>
      <c r="Z70">
        <f t="shared" si="35"/>
        <v>88.896363028319328</v>
      </c>
      <c r="AC70">
        <v>1</v>
      </c>
      <c r="AD70">
        <f t="shared" si="17"/>
        <v>5.3336703374640004</v>
      </c>
      <c r="AE70">
        <f t="shared" si="18"/>
        <v>-6.0322390306919729E-7</v>
      </c>
      <c r="AF70">
        <f t="shared" si="19"/>
        <v>2.964281160834E-4</v>
      </c>
      <c r="AG70">
        <f t="shared" si="36"/>
        <v>17986.192921591897</v>
      </c>
      <c r="AH70">
        <f t="shared" si="37"/>
        <v>-3410.1006168089534</v>
      </c>
      <c r="AJ70">
        <f t="shared" si="20"/>
        <v>18000</v>
      </c>
      <c r="AK70">
        <f t="shared" si="21"/>
        <v>12092.367100967998</v>
      </c>
      <c r="AL70">
        <v>1</v>
      </c>
      <c r="AM70">
        <f t="shared" si="22"/>
        <v>7.3897798950359999</v>
      </c>
      <c r="AN70">
        <f t="shared" si="38"/>
        <v>1930.6268206717455</v>
      </c>
      <c r="AO70">
        <f t="shared" si="39"/>
        <v>-2174.5401632493376</v>
      </c>
      <c r="AQ70">
        <f t="shared" si="23"/>
        <v>7.7101002313030067</v>
      </c>
      <c r="AR70">
        <f t="shared" si="24"/>
        <v>-277.56360832690825</v>
      </c>
      <c r="AT70">
        <f t="shared" si="52"/>
        <v>-807844.48175428237</v>
      </c>
      <c r="AU70">
        <f t="shared" si="53"/>
        <v>-5018604.8249353683</v>
      </c>
      <c r="AV70">
        <f t="shared" si="42"/>
        <v>-1.7303971679925143</v>
      </c>
      <c r="AW70">
        <f t="shared" si="25"/>
        <v>-547909.85404476617</v>
      </c>
      <c r="AX70">
        <f t="shared" si="26"/>
        <v>-593128.46539652545</v>
      </c>
      <c r="AY70">
        <f t="shared" si="50"/>
        <v>-2.3165858625634068</v>
      </c>
      <c r="BA70">
        <f t="shared" si="27"/>
        <v>6.2952346066858222</v>
      </c>
      <c r="BB70">
        <f t="shared" si="43"/>
        <v>15.980238394963385</v>
      </c>
      <c r="BC70">
        <f t="shared" si="44"/>
        <v>0.58618869457089251</v>
      </c>
      <c r="BD70">
        <f t="shared" si="28"/>
        <v>-146.41386176442683</v>
      </c>
      <c r="BF70">
        <f t="shared" si="29"/>
        <v>7.0835012664872306</v>
      </c>
      <c r="BG70">
        <f t="shared" si="30"/>
        <v>-95.182202803447154</v>
      </c>
      <c r="BH70">
        <f t="shared" si="45"/>
        <v>84.817797196552846</v>
      </c>
      <c r="BI70">
        <f t="shared" si="46"/>
        <v>84.817797196552846</v>
      </c>
      <c r="BJ70">
        <f t="shared" si="31"/>
        <v>0</v>
      </c>
      <c r="BK70">
        <f t="shared" si="47"/>
        <v>0</v>
      </c>
      <c r="BM70">
        <f t="shared" si="48"/>
        <v>-8.8967371284761523</v>
      </c>
      <c r="BN70">
        <f t="shared" si="32"/>
        <v>-128.76834103902033</v>
      </c>
      <c r="BQ70" s="66">
        <f t="shared" si="49"/>
        <v>32.882199195248518</v>
      </c>
      <c r="BR70" s="69"/>
      <c r="BS70" s="69"/>
      <c r="BT70" s="69">
        <v>398.10700000000003</v>
      </c>
      <c r="BU70" s="69">
        <v>22.738499999999998</v>
      </c>
      <c r="BV70" s="69">
        <v>-265.2319</v>
      </c>
      <c r="BW70" s="75"/>
      <c r="BY70" s="69"/>
      <c r="BZ70" s="69"/>
      <c r="CA70" s="69"/>
      <c r="CC70" s="69"/>
    </row>
    <row r="71" spans="1:81" x14ac:dyDescent="0.2">
      <c r="A71">
        <f t="shared" si="54"/>
        <v>18500</v>
      </c>
      <c r="B71">
        <f t="shared" si="33"/>
        <v>18.5</v>
      </c>
      <c r="C71">
        <f t="shared" si="0"/>
        <v>1.5245527139186836</v>
      </c>
      <c r="D71">
        <f t="shared" si="1"/>
        <v>0.85538216563224212</v>
      </c>
      <c r="F71">
        <f t="shared" si="2"/>
        <v>1.5083095557721955E-2</v>
      </c>
      <c r="G71">
        <f t="shared" si="3"/>
        <v>5.0912235090334178E-2</v>
      </c>
      <c r="H71">
        <f t="shared" si="4"/>
        <v>-3.0906804149096661</v>
      </c>
      <c r="J71">
        <f t="shared" si="5"/>
        <v>15</v>
      </c>
      <c r="M71">
        <f t="shared" si="6"/>
        <v>0.18235130583512515</v>
      </c>
      <c r="N71">
        <f t="shared" si="7"/>
        <v>-1.5707963250000001</v>
      </c>
      <c r="O71">
        <f t="shared" si="8"/>
        <v>5.5722918572494526</v>
      </c>
      <c r="P71">
        <f t="shared" si="9"/>
        <v>1.3903594523606939</v>
      </c>
      <c r="Q71">
        <f t="shared" si="10"/>
        <v>7.6606010325974321</v>
      </c>
      <c r="R71">
        <f t="shared" si="11"/>
        <v>1.4398846623345281</v>
      </c>
      <c r="S71">
        <f t="shared" si="12"/>
        <v>0.8229034252317774</v>
      </c>
      <c r="T71">
        <f t="shared" si="13"/>
        <v>-0.60429402360296913</v>
      </c>
      <c r="U71">
        <f t="shared" si="14"/>
        <v>0.9999978128159861</v>
      </c>
      <c r="V71">
        <f t="shared" si="15"/>
        <v>-2.091499371863894E-3</v>
      </c>
      <c r="X71">
        <f t="shared" si="34"/>
        <v>6.8855536929657983</v>
      </c>
      <c r="Y71">
        <f t="shared" si="16"/>
        <v>-90.655444097841965</v>
      </c>
      <c r="Z71">
        <f t="shared" si="35"/>
        <v>89.344555902158035</v>
      </c>
      <c r="AC71">
        <v>1</v>
      </c>
      <c r="AD71">
        <f t="shared" si="17"/>
        <v>5.4818278468380006</v>
      </c>
      <c r="AE71">
        <f t="shared" si="18"/>
        <v>-6.372017926710887E-7</v>
      </c>
      <c r="AF71">
        <f t="shared" si="19"/>
        <v>3.0466223041905003E-4</v>
      </c>
      <c r="AG71">
        <f t="shared" si="36"/>
        <v>17986.188726190649</v>
      </c>
      <c r="AH71">
        <f t="shared" si="37"/>
        <v>-3319.9416623072302</v>
      </c>
      <c r="AJ71">
        <f t="shared" si="20"/>
        <v>18000</v>
      </c>
      <c r="AK71">
        <f t="shared" si="21"/>
        <v>12428.266187105999</v>
      </c>
      <c r="AL71">
        <v>1</v>
      </c>
      <c r="AM71">
        <f t="shared" si="22"/>
        <v>7.5950515587869996</v>
      </c>
      <c r="AN71">
        <f t="shared" si="38"/>
        <v>1915.2030305944024</v>
      </c>
      <c r="AO71">
        <f t="shared" si="39"/>
        <v>-2117.7995758036027</v>
      </c>
      <c r="AQ71">
        <f t="shared" si="23"/>
        <v>7.2992700729927007</v>
      </c>
      <c r="AR71">
        <f t="shared" si="24"/>
        <v>-270.07299270072991</v>
      </c>
      <c r="AT71">
        <f t="shared" si="52"/>
        <v>-765340.53123486764</v>
      </c>
      <c r="AU71">
        <f t="shared" si="53"/>
        <v>-4881816.9673821982</v>
      </c>
      <c r="AV71">
        <f t="shared" si="42"/>
        <v>-1.7263042514136981</v>
      </c>
      <c r="AW71">
        <f t="shared" si="25"/>
        <v>-517136.53836949932</v>
      </c>
      <c r="AX71">
        <f t="shared" si="26"/>
        <v>-572095.22953399969</v>
      </c>
      <c r="AY71">
        <f t="shared" si="50"/>
        <v>-2.3057808637240194</v>
      </c>
      <c r="BA71">
        <f t="shared" si="27"/>
        <v>6.4076175488412099</v>
      </c>
      <c r="BB71">
        <f t="shared" si="43"/>
        <v>16.133931642720079</v>
      </c>
      <c r="BC71">
        <f t="shared" si="44"/>
        <v>0.57947661231032122</v>
      </c>
      <c r="BD71">
        <f t="shared" si="28"/>
        <v>-146.79843575014164</v>
      </c>
      <c r="BF71">
        <f t="shared" si="29"/>
        <v>6.8884153818483611</v>
      </c>
      <c r="BG71">
        <f t="shared" si="30"/>
        <v>-94.871591533064745</v>
      </c>
      <c r="BH71">
        <f t="shared" si="45"/>
        <v>85.128408466935255</v>
      </c>
      <c r="BI71">
        <f t="shared" si="46"/>
        <v>85.128408466935255</v>
      </c>
      <c r="BJ71">
        <f t="shared" si="31"/>
        <v>0</v>
      </c>
      <c r="BK71">
        <f t="shared" si="47"/>
        <v>0</v>
      </c>
      <c r="BM71">
        <f t="shared" si="48"/>
        <v>-9.2455162608717174</v>
      </c>
      <c r="BN71">
        <f t="shared" si="32"/>
        <v>-128.07315578292312</v>
      </c>
      <c r="BQ71" s="66">
        <f t="shared" si="49"/>
        <v>33.035892443005217</v>
      </c>
      <c r="BR71" s="69"/>
      <c r="BS71" s="69"/>
      <c r="BT71" s="69">
        <v>407.38</v>
      </c>
      <c r="BU71" s="69">
        <v>22.7593</v>
      </c>
      <c r="BV71" s="69">
        <v>-265.7319</v>
      </c>
      <c r="BW71" s="75"/>
      <c r="BY71" s="69"/>
      <c r="BZ71" s="69"/>
      <c r="CA71" s="69"/>
      <c r="CC71" s="69"/>
    </row>
    <row r="72" spans="1:81" x14ac:dyDescent="0.2">
      <c r="A72">
        <f t="shared" si="54"/>
        <v>19000</v>
      </c>
      <c r="B72">
        <f t="shared" si="33"/>
        <v>19</v>
      </c>
      <c r="C72">
        <f t="shared" si="0"/>
        <v>1.5481634189911391</v>
      </c>
      <c r="D72">
        <f t="shared" si="1"/>
        <v>0.86855982840117552</v>
      </c>
      <c r="F72">
        <f t="shared" si="2"/>
        <v>1.4289379526869057E-2</v>
      </c>
      <c r="G72">
        <f t="shared" si="3"/>
        <v>4.9535541348694659E-2</v>
      </c>
      <c r="H72">
        <f t="shared" si="4"/>
        <v>-3.0920571086513053</v>
      </c>
      <c r="J72">
        <f t="shared" si="5"/>
        <v>15</v>
      </c>
      <c r="M72">
        <f t="shared" si="6"/>
        <v>0.17755258726051659</v>
      </c>
      <c r="N72">
        <f t="shared" si="7"/>
        <v>-1.5707963250000001</v>
      </c>
      <c r="O72">
        <f t="shared" si="8"/>
        <v>5.7181059024087313</v>
      </c>
      <c r="P72">
        <f t="shared" si="9"/>
        <v>1.3950093049388779</v>
      </c>
      <c r="Q72">
        <f t="shared" si="10"/>
        <v>7.8641618991514672</v>
      </c>
      <c r="R72">
        <f t="shared" si="11"/>
        <v>1.4432919951217213</v>
      </c>
      <c r="S72">
        <f t="shared" si="12"/>
        <v>0.81572158127968974</v>
      </c>
      <c r="T72">
        <f t="shared" si="13"/>
        <v>-0.61682077613416608</v>
      </c>
      <c r="U72">
        <f t="shared" si="14"/>
        <v>0.99999769299258701</v>
      </c>
      <c r="V72">
        <f t="shared" si="15"/>
        <v>-2.1480262103245732E-3</v>
      </c>
      <c r="X72">
        <f t="shared" si="34"/>
        <v>6.6938805524601719</v>
      </c>
      <c r="Y72">
        <f t="shared" si="16"/>
        <v>-90.238624462061878</v>
      </c>
      <c r="Z72">
        <f t="shared" si="35"/>
        <v>89.761375537938122</v>
      </c>
      <c r="AC72">
        <v>1</v>
      </c>
      <c r="AD72">
        <f t="shared" si="17"/>
        <v>5.6299853562120008</v>
      </c>
      <c r="AE72">
        <f t="shared" si="18"/>
        <v>-6.7211058335796359E-7</v>
      </c>
      <c r="AF72">
        <f t="shared" si="19"/>
        <v>3.1289634475470006E-4</v>
      </c>
      <c r="AG72">
        <f t="shared" si="36"/>
        <v>17986.184415848937</v>
      </c>
      <c r="AH72">
        <f t="shared" si="37"/>
        <v>-3234.5814256589119</v>
      </c>
      <c r="AJ72">
        <f t="shared" si="20"/>
        <v>18000</v>
      </c>
      <c r="AK72">
        <f t="shared" si="21"/>
        <v>12764.165273244</v>
      </c>
      <c r="AL72">
        <v>1</v>
      </c>
      <c r="AM72">
        <f t="shared" si="22"/>
        <v>7.8003232225379993</v>
      </c>
      <c r="AN72">
        <f t="shared" si="38"/>
        <v>1900.9545515760931</v>
      </c>
      <c r="AO72">
        <f t="shared" si="39"/>
        <v>-2063.8946604043085</v>
      </c>
      <c r="AQ72">
        <f t="shared" si="23"/>
        <v>6.9204152249134951</v>
      </c>
      <c r="AR72">
        <f t="shared" si="24"/>
        <v>-262.97577854671277</v>
      </c>
      <c r="AT72">
        <f t="shared" si="52"/>
        <v>-726144.70421584568</v>
      </c>
      <c r="AU72">
        <f t="shared" si="53"/>
        <v>-4752315.4963869788</v>
      </c>
      <c r="AV72">
        <f t="shared" si="42"/>
        <v>-1.7224216576083176</v>
      </c>
      <c r="AW72">
        <f t="shared" si="25"/>
        <v>-488693.30458026938</v>
      </c>
      <c r="AX72">
        <f t="shared" si="26"/>
        <v>-552540.25152592931</v>
      </c>
      <c r="AY72">
        <f t="shared" si="50"/>
        <v>-2.2949526047163218</v>
      </c>
      <c r="BA72">
        <f t="shared" si="27"/>
        <v>6.51731460839222</v>
      </c>
      <c r="BB72">
        <f t="shared" si="43"/>
        <v>16.281373721402964</v>
      </c>
      <c r="BC72">
        <f t="shared" si="44"/>
        <v>0.57253094710800423</v>
      </c>
      <c r="BD72">
        <f t="shared" si="28"/>
        <v>-147.1963930526</v>
      </c>
      <c r="BF72">
        <f t="shared" si="29"/>
        <v>6.6998023570178367</v>
      </c>
      <c r="BG72">
        <f t="shared" si="30"/>
        <v>-94.593403115321962</v>
      </c>
      <c r="BH72">
        <f t="shared" si="45"/>
        <v>85.406596884678038</v>
      </c>
      <c r="BI72">
        <f t="shared" si="46"/>
        <v>85.406596884678038</v>
      </c>
      <c r="BJ72">
        <f t="shared" si="31"/>
        <v>0</v>
      </c>
      <c r="BK72">
        <f t="shared" si="47"/>
        <v>0</v>
      </c>
      <c r="BM72">
        <f t="shared" si="48"/>
        <v>-9.5815713643851268</v>
      </c>
      <c r="BN72">
        <f t="shared" si="32"/>
        <v>-127.39701006272196</v>
      </c>
      <c r="BQ72" s="66">
        <f t="shared" si="49"/>
        <v>33.183334521688096</v>
      </c>
      <c r="BR72" s="69"/>
      <c r="BS72" s="69"/>
      <c r="BT72" s="69">
        <v>416.86900000000003</v>
      </c>
      <c r="BU72" s="69">
        <v>22.4206</v>
      </c>
      <c r="BV72" s="69">
        <v>-265.24939999999998</v>
      </c>
      <c r="BW72" s="75"/>
      <c r="BY72" s="69"/>
      <c r="BZ72" s="69"/>
      <c r="CA72" s="69"/>
      <c r="CC72" s="69"/>
    </row>
    <row r="73" spans="1:81" x14ac:dyDescent="0.2">
      <c r="A73">
        <f t="shared" si="54"/>
        <v>19500</v>
      </c>
      <c r="B73">
        <f t="shared" si="33"/>
        <v>19.5</v>
      </c>
      <c r="C73">
        <f t="shared" ref="C73:C136" si="55">SQRT((A73/Fesr)^2+1)</f>
        <v>1.5720348616166635</v>
      </c>
      <c r="D73">
        <f t="shared" ref="D73:D136" si="56">ATAN(A73/Fesr)</f>
        <v>0.88133944762729222</v>
      </c>
      <c r="F73">
        <f t="shared" ref="F73:F136" si="57">(Ro/(Ro+Rdcr))/SQRT((A73/(Q*Fo))^2+(1-(A73^2/Fo^2))^2)</f>
        <v>1.3556948309739317E-2</v>
      </c>
      <c r="G73">
        <f t="shared" ref="G73:G136" si="58">-ATAN(A73*Fo/(Q*(Fo^2-A73^2)))</f>
        <v>4.8232221823111744E-2</v>
      </c>
      <c r="H73">
        <f t="shared" ref="H73:H136" si="59">IF(G73&gt;0,G73-Pi,G73)</f>
        <v>-3.0933604281768883</v>
      </c>
      <c r="J73">
        <f t="shared" ref="J73:J136" si="60">Vin/Vramp</f>
        <v>15</v>
      </c>
      <c r="M73">
        <f t="shared" ref="M73:M136" si="61">1/(2*Pi*_Rfb1*(Cc1ea_u+Cc2ea_u)*A73)</f>
        <v>0.17299995681793923</v>
      </c>
      <c r="N73">
        <f t="shared" ref="N73:N136" si="62">-Pi/2</f>
        <v>-1.5707963250000001</v>
      </c>
      <c r="O73">
        <f t="shared" ref="O73:O136" si="63">SQRT(1+(A73/Fz1_u)^2)</f>
        <v>5.8640374295465065</v>
      </c>
      <c r="P73">
        <f t="shared" ref="P73:P136" si="64">ATAN2(Fz1_u,A73)</f>
        <v>1.3994278181067581</v>
      </c>
      <c r="Q73">
        <f t="shared" ref="Q73:Q136" si="65">SQRT(1+(A73/Fz2_u)^2)</f>
        <v>8.0678094600316754</v>
      </c>
      <c r="R73">
        <f t="shared" ref="R73:R136" si="66">ATAN2(Fz2_u,A73)</f>
        <v>1.4465273481909022</v>
      </c>
      <c r="S73">
        <f t="shared" ref="S73:S136" si="67">1/SQRT(1+(A73/Fp1_u)^2)</f>
        <v>0.80854042047290497</v>
      </c>
      <c r="T73">
        <f t="shared" ref="T73:T136" si="68">-ATAN2(Fp1_u,A73)</f>
        <v>-0.62912887485085978</v>
      </c>
      <c r="U73">
        <f t="shared" ref="U73:U136" si="69">1/SQRT(1+(A73/Fp2_u)^2)</f>
        <v>0.99999756997394207</v>
      </c>
      <c r="V73">
        <f t="shared" ref="V73:V136" si="70">-ATAN2(Fp2_u,A73)</f>
        <v>-2.2045530350581289E-3</v>
      </c>
      <c r="X73">
        <f t="shared" si="34"/>
        <v>6.5082882771078427</v>
      </c>
      <c r="Y73">
        <f t="shared" ref="Y73:Y136" si="71">(180/Pi)*(D73+H73+N73+P73+R73+T73+V73)</f>
        <v>-89.850987550793249</v>
      </c>
      <c r="Z73">
        <f t="shared" si="35"/>
        <v>90.149012449206751</v>
      </c>
      <c r="AC73">
        <v>1</v>
      </c>
      <c r="AD73">
        <f t="shared" ref="AD73:AD136" si="72">Rcea1_u*Cc1ea_u*A73*2*Pi</f>
        <v>5.7781428655860001</v>
      </c>
      <c r="AE73">
        <f t="shared" ref="AE73:AE136" si="73">-Rcea1_u*Cc1ea_u*Cc2ea_u*(A73*2*Pi)^2</f>
        <v>-7.0795027512982186E-7</v>
      </c>
      <c r="AF73">
        <f t="shared" ref="AF73:AF136" si="74">(Cc2ea_u+Cc1ea_u)*A73*2*Pi</f>
        <v>3.2113045909034997E-4</v>
      </c>
      <c r="AG73">
        <f t="shared" si="36"/>
        <v>17986.179990566932</v>
      </c>
      <c r="AH73">
        <f t="shared" si="37"/>
        <v>-3153.6507746464622</v>
      </c>
      <c r="AJ73">
        <f t="shared" ref="AJ73:AJ136" si="75">_Rfb1</f>
        <v>18000</v>
      </c>
      <c r="AK73">
        <f t="shared" ref="AK73:AK136" si="76">_Rfb1*Rcea2_u*Cc3ea_u*A73*2*Pi</f>
        <v>13100.064359381999</v>
      </c>
      <c r="AL73">
        <v>1</v>
      </c>
      <c r="AM73">
        <f t="shared" ref="AM73:AM136" si="77">(_Rfb1+Rcea2_u)*Cc3ea_u*A73*2*Pi</f>
        <v>8.0055948862889998</v>
      </c>
      <c r="AN73">
        <f t="shared" si="38"/>
        <v>1887.765535647261</v>
      </c>
      <c r="AO73">
        <f t="shared" si="39"/>
        <v>-2012.6217593083297</v>
      </c>
      <c r="AQ73">
        <f t="shared" ref="AQ73:AQ136" si="78">Eadcg/(1+(Eadcg*A73/GBP)^2)</f>
        <v>6.5703022339027592</v>
      </c>
      <c r="AR73">
        <f t="shared" ref="AR73:AR136" si="79">-(A73*Eadcg*Eadcg/GBP)/(1+(Eadcg*A73/GBP)^2)</f>
        <v>-256.2417871222076</v>
      </c>
      <c r="AT73">
        <f t="shared" si="52"/>
        <v>-689922.47188334481</v>
      </c>
      <c r="AU73">
        <f t="shared" si="53"/>
        <v>-4629531.3430141704</v>
      </c>
      <c r="AV73">
        <f t="shared" si="42"/>
        <v>-1.7187339799964156</v>
      </c>
      <c r="AW73">
        <f t="shared" si="25"/>
        <v>-462352.29757848318</v>
      </c>
      <c r="AX73">
        <f t="shared" si="26"/>
        <v>-534314.22273159528</v>
      </c>
      <c r="AY73">
        <f t="shared" si="50"/>
        <v>-2.2841169573922713</v>
      </c>
      <c r="BA73">
        <f t="shared" ref="BA73:BA136" si="80">SQRT(AT73^2+AU73^2)/SQRT(AW73^2+AX73^2)</f>
        <v>6.624344117331896</v>
      </c>
      <c r="BB73">
        <f t="shared" si="43"/>
        <v>16.422857696480254</v>
      </c>
      <c r="BC73">
        <f t="shared" si="44"/>
        <v>0.56538297739585563</v>
      </c>
      <c r="BD73">
        <f t="shared" ref="BD73:BD136" si="81">BC73*180/Pi-180</f>
        <v>-147.60594154966145</v>
      </c>
      <c r="BF73">
        <f t="shared" ref="BF73:BF136" si="82">20*LOG(BA73*J73*F73*C73)</f>
        <v>6.5171651363442091</v>
      </c>
      <c r="BG73">
        <f t="shared" ref="BG73:BG136" si="83">(180/Pi)*(D73+H73+BC73)</f>
        <v>-94.345408074364201</v>
      </c>
      <c r="BH73">
        <f t="shared" si="45"/>
        <v>85.654591925635799</v>
      </c>
      <c r="BI73">
        <f t="shared" si="46"/>
        <v>85.654591925635799</v>
      </c>
      <c r="BJ73">
        <f t="shared" ref="BJ73:BJ136" si="84">SUM((BF74&lt;0)*(BF73&gt;0))*A73</f>
        <v>0</v>
      </c>
      <c r="BK73">
        <f t="shared" si="47"/>
        <v>0</v>
      </c>
      <c r="BM73">
        <f t="shared" si="48"/>
        <v>-9.9056925601360426</v>
      </c>
      <c r="BN73">
        <f t="shared" ref="BN73:BN136" si="85">(H73+D73)*180/Pi</f>
        <v>-126.73946652470276</v>
      </c>
      <c r="BQ73" s="66">
        <f t="shared" si="49"/>
        <v>33.324818496765388</v>
      </c>
      <c r="BR73" s="69"/>
      <c r="BS73" s="69"/>
      <c r="BT73" s="69">
        <v>426.58</v>
      </c>
      <c r="BU73" s="69">
        <v>22.373699999999999</v>
      </c>
      <c r="BV73" s="69">
        <v>-265.14060000000001</v>
      </c>
      <c r="BW73" s="75"/>
      <c r="BY73" s="69"/>
      <c r="BZ73" s="69"/>
      <c r="CA73" s="69"/>
      <c r="CC73" s="69"/>
    </row>
    <row r="74" spans="1:81" x14ac:dyDescent="0.2">
      <c r="A74">
        <f t="shared" si="54"/>
        <v>20000</v>
      </c>
      <c r="B74">
        <f t="shared" ref="B74:B137" si="86">A74/1000</f>
        <v>20</v>
      </c>
      <c r="C74">
        <f t="shared" si="55"/>
        <v>1.5961553433874134</v>
      </c>
      <c r="D74">
        <f t="shared" si="56"/>
        <v>0.89373479948105183</v>
      </c>
      <c r="F74">
        <f t="shared" si="57"/>
        <v>1.2879628383286372E-2</v>
      </c>
      <c r="G74">
        <f t="shared" si="58"/>
        <v>4.699650110419417E-2</v>
      </c>
      <c r="H74">
        <f t="shared" si="59"/>
        <v>-3.094596148895806</v>
      </c>
      <c r="J74">
        <f t="shared" si="60"/>
        <v>15</v>
      </c>
      <c r="M74">
        <f t="shared" si="61"/>
        <v>0.16867495789749076</v>
      </c>
      <c r="N74">
        <f t="shared" si="62"/>
        <v>-1.5707963250000001</v>
      </c>
      <c r="O74">
        <f t="shared" si="63"/>
        <v>6.0100778808806661</v>
      </c>
      <c r="P74">
        <f t="shared" si="64"/>
        <v>1.4036316768473898</v>
      </c>
      <c r="Q74">
        <f t="shared" si="65"/>
        <v>8.2715373119248987</v>
      </c>
      <c r="R74">
        <f t="shared" si="66"/>
        <v>1.4496033587452735</v>
      </c>
      <c r="S74">
        <f t="shared" si="67"/>
        <v>0.80136636570489805</v>
      </c>
      <c r="T74">
        <f t="shared" si="68"/>
        <v>-0.64122036277435768</v>
      </c>
      <c r="U74">
        <f t="shared" si="69"/>
        <v>0.99999744376005473</v>
      </c>
      <c r="V74">
        <f t="shared" si="70"/>
        <v>-2.261079845703329E-3</v>
      </c>
      <c r="X74">
        <f t="shared" ref="X74:X137" si="87">20*LOG(C74*J74*O74*Q74*F74*M74*S74*U74)</f>
        <v>6.3283338294397709</v>
      </c>
      <c r="Y74">
        <f t="shared" si="71"/>
        <v>-89.490511973150745</v>
      </c>
      <c r="Z74">
        <f t="shared" ref="Z74:Z137" si="88">Y74+180</f>
        <v>90.509488026849255</v>
      </c>
      <c r="AC74">
        <v>1</v>
      </c>
      <c r="AD74">
        <f t="shared" si="72"/>
        <v>5.9263003749600003</v>
      </c>
      <c r="AE74">
        <f t="shared" si="73"/>
        <v>-7.4472086798666329E-7</v>
      </c>
      <c r="AF74">
        <f t="shared" si="74"/>
        <v>3.29364573426E-4</v>
      </c>
      <c r="AG74">
        <f t="shared" ref="AG74:AG137" si="89">AC74*AE74/(AE74^2+AF74^2)+AD74*AF74/(AE74^2+AF74^2)</f>
        <v>17986.175450344799</v>
      </c>
      <c r="AH74">
        <f t="shared" ref="AH74:AH137" si="90">AD74*AE74/(AE74^2+AF74^2)-AC74*AF74/(AE74^2+AF74^2)</f>
        <v>-3076.8174902721457</v>
      </c>
      <c r="AJ74">
        <f t="shared" si="75"/>
        <v>18000</v>
      </c>
      <c r="AK74">
        <f t="shared" si="76"/>
        <v>13435.963445519999</v>
      </c>
      <c r="AL74">
        <v>1</v>
      </c>
      <c r="AM74">
        <f t="shared" si="77"/>
        <v>8.2108665500400004</v>
      </c>
      <c r="AN74">
        <f t="shared" ref="AN74:AN137" si="91">AJ74*AL74/(AL74^2+AM74^2)+AK74*AM74/(AL74^2+AM74^2)</f>
        <v>1875.5339944037678</v>
      </c>
      <c r="AO74">
        <f t="shared" ref="AO74:AO137" si="92">AK74*AL74/(AL74^2+AM74^2)-AJ74*AM74/(AL74^2+AM74^2)</f>
        <v>-1963.7958925928083</v>
      </c>
      <c r="AQ74">
        <f t="shared" si="78"/>
        <v>6.2460961898813245</v>
      </c>
      <c r="AR74">
        <f t="shared" si="79"/>
        <v>-249.84384759525295</v>
      </c>
      <c r="AT74">
        <f t="shared" si="52"/>
        <v>-656380.53816702694</v>
      </c>
      <c r="AU74">
        <f t="shared" si="53"/>
        <v>-4512953.3760403749</v>
      </c>
      <c r="AV74">
        <f t="shared" ref="AV74:AV137" si="93">ATAN2(AT74,AU74)</f>
        <v>-1.7152272629691867</v>
      </c>
      <c r="AW74">
        <f t="shared" ref="AW74:AW137" si="94">AG74-AH74*AO74/_Rfb2+AG74*AN74/_Rfb2+AN74-AO74*AR74+AQ74*AN74</f>
        <v>-437912.66170313797</v>
      </c>
      <c r="AX74">
        <f t="shared" ref="AX74:AX137" si="95">AH74+AH74*AN74/_Rfb2+AG74*AO74/_Rfb2+AO74+AO74*AQ74+AN74*AR74</f>
        <v>-517286.91101995256</v>
      </c>
      <c r="AY74">
        <f t="shared" si="50"/>
        <v>-2.2732879347077515</v>
      </c>
      <c r="BA74">
        <f t="shared" si="80"/>
        <v>6.7287290961605608</v>
      </c>
      <c r="BB74">
        <f t="shared" ref="BB74:BB137" si="96">20*LOG(BA74)</f>
        <v>16.558660872454908</v>
      </c>
      <c r="BC74">
        <f t="shared" ref="BC74:BC137" si="97">AV74-AY74</f>
        <v>0.55806067173856477</v>
      </c>
      <c r="BD74">
        <f t="shared" si="81"/>
        <v>-148.02547876060837</v>
      </c>
      <c r="BF74">
        <f t="shared" si="82"/>
        <v>6.3400558255600439</v>
      </c>
      <c r="BG74">
        <f t="shared" si="83"/>
        <v>-94.125545519631274</v>
      </c>
      <c r="BH74">
        <f t="shared" ref="BH74:BH137" si="98">IF(BG74&gt;180,BG74-180,BG74+180)</f>
        <v>85.874454480368726</v>
      </c>
      <c r="BI74">
        <f t="shared" ref="BI74:BI137" si="99">IF(BH74&gt;180,BH74-360,BH74)</f>
        <v>85.874454480368726</v>
      </c>
      <c r="BJ74">
        <f t="shared" si="84"/>
        <v>0</v>
      </c>
      <c r="BK74">
        <f t="shared" ref="BK74:BK137" si="100">IF(BJ74&gt;0,BI74,0)</f>
        <v>0</v>
      </c>
      <c r="BM74">
        <f t="shared" ref="BM74:BM137" si="101">20*LOG(J74*F74*C74)</f>
        <v>-10.218605046894867</v>
      </c>
      <c r="BN74">
        <f t="shared" si="85"/>
        <v>-126.10006675902292</v>
      </c>
      <c r="BQ74" s="66">
        <f t="shared" ref="BQ74:BQ137" si="102">20*LOG(BA74*7)</f>
        <v>33.460621672740047</v>
      </c>
      <c r="BR74" s="71"/>
      <c r="BS74" s="71"/>
      <c r="BT74" s="71">
        <v>436.51600000000002</v>
      </c>
      <c r="BU74" s="71">
        <v>22.074100000000001</v>
      </c>
      <c r="BV74" s="71">
        <v>-264.9151</v>
      </c>
      <c r="BW74" s="75"/>
      <c r="BY74" s="71"/>
      <c r="BZ74" s="71"/>
      <c r="CA74" s="71"/>
      <c r="CC74" s="71"/>
    </row>
    <row r="75" spans="1:81" x14ac:dyDescent="0.2">
      <c r="A75">
        <f t="shared" si="54"/>
        <v>20500</v>
      </c>
      <c r="B75">
        <f t="shared" si="86"/>
        <v>20.5</v>
      </c>
      <c r="C75">
        <f t="shared" si="55"/>
        <v>1.6205137438974535</v>
      </c>
      <c r="D75">
        <f t="shared" si="56"/>
        <v>0.90575931695235046</v>
      </c>
      <c r="F75">
        <f t="shared" si="57"/>
        <v>1.2252007080235602E-2</v>
      </c>
      <c r="G75">
        <f t="shared" si="58"/>
        <v>4.5823199961450622E-2</v>
      </c>
      <c r="H75">
        <f t="shared" si="59"/>
        <v>-3.0957694500385498</v>
      </c>
      <c r="J75">
        <f t="shared" si="60"/>
        <v>15</v>
      </c>
      <c r="M75">
        <f t="shared" si="61"/>
        <v>0.16456093453413734</v>
      </c>
      <c r="N75">
        <f t="shared" si="62"/>
        <v>-1.5707963250000001</v>
      </c>
      <c r="O75">
        <f t="shared" si="63"/>
        <v>6.1562195045780737</v>
      </c>
      <c r="P75">
        <f t="shared" si="64"/>
        <v>1.4076360139663877</v>
      </c>
      <c r="Q75">
        <f t="shared" si="65"/>
        <v>8.4753396647941592</v>
      </c>
      <c r="R75">
        <f t="shared" si="66"/>
        <v>1.4525314612589342</v>
      </c>
      <c r="S75">
        <f t="shared" si="67"/>
        <v>0.79420543889418937</v>
      </c>
      <c r="T75">
        <f t="shared" si="68"/>
        <v>-0.65309746502629085</v>
      </c>
      <c r="U75">
        <f t="shared" si="69"/>
        <v>0.99999731435092887</v>
      </c>
      <c r="V75">
        <f t="shared" si="70"/>
        <v>-2.3176066418989397E-3</v>
      </c>
      <c r="X75">
        <f t="shared" si="87"/>
        <v>6.1536172266863867</v>
      </c>
      <c r="Y75">
        <f t="shared" si="71"/>
        <v>-89.155330120610046</v>
      </c>
      <c r="Z75">
        <f t="shared" si="88"/>
        <v>90.844669879389954</v>
      </c>
      <c r="AC75">
        <v>1</v>
      </c>
      <c r="AD75">
        <f t="shared" si="72"/>
        <v>6.0744578843340014</v>
      </c>
      <c r="AE75">
        <f t="shared" si="73"/>
        <v>-7.8242236192848811E-7</v>
      </c>
      <c r="AF75">
        <f t="shared" si="74"/>
        <v>3.3759868776164997E-4</v>
      </c>
      <c r="AG75">
        <f t="shared" si="89"/>
        <v>17986.170795182716</v>
      </c>
      <c r="AH75">
        <f t="shared" si="90"/>
        <v>-3003.7817651458631</v>
      </c>
      <c r="AJ75">
        <f t="shared" si="75"/>
        <v>18000</v>
      </c>
      <c r="AK75">
        <f t="shared" si="76"/>
        <v>13771.862531657998</v>
      </c>
      <c r="AL75">
        <v>1</v>
      </c>
      <c r="AM75">
        <f t="shared" si="77"/>
        <v>8.416138213791001</v>
      </c>
      <c r="AN75">
        <f t="shared" si="91"/>
        <v>1864.1698654690711</v>
      </c>
      <c r="AO75">
        <f t="shared" si="92"/>
        <v>-1917.2487101138802</v>
      </c>
      <c r="AQ75">
        <f t="shared" si="78"/>
        <v>5.9453032104637336</v>
      </c>
      <c r="AR75">
        <f t="shared" si="79"/>
        <v>-243.75743162901307</v>
      </c>
      <c r="AT75">
        <f t="shared" si="52"/>
        <v>-625260.88927347003</v>
      </c>
      <c r="AU75">
        <f t="shared" si="53"/>
        <v>-4402121.1912463568</v>
      </c>
      <c r="AV75">
        <f t="shared" si="93"/>
        <v>-1.7118888370925858</v>
      </c>
      <c r="AW75">
        <f t="shared" si="94"/>
        <v>-415196.81662155828</v>
      </c>
      <c r="AX75">
        <f t="shared" si="95"/>
        <v>-501344.2711543818</v>
      </c>
      <c r="AY75">
        <f t="shared" ref="AY75:AY138" si="103">ATAN2(AW75,AX75)</f>
        <v>-2.2624779043893826</v>
      </c>
      <c r="BA75">
        <f t="shared" si="80"/>
        <v>6.8304966849562403</v>
      </c>
      <c r="BB75">
        <f t="shared" si="96"/>
        <v>16.689045697914334</v>
      </c>
      <c r="BC75">
        <f t="shared" si="97"/>
        <v>0.5505890672967968</v>
      </c>
      <c r="BD75">
        <f t="shared" si="81"/>
        <v>-148.45357016180202</v>
      </c>
      <c r="BF75">
        <f t="shared" si="82"/>
        <v>6.1680700355787224</v>
      </c>
      <c r="BG75">
        <f t="shared" si="83"/>
        <v>-93.931908021904889</v>
      </c>
      <c r="BH75">
        <f t="shared" si="98"/>
        <v>86.068091978095111</v>
      </c>
      <c r="BI75">
        <f t="shared" si="99"/>
        <v>86.068091978095111</v>
      </c>
      <c r="BJ75">
        <f t="shared" si="84"/>
        <v>0</v>
      </c>
      <c r="BK75">
        <f t="shared" si="100"/>
        <v>0</v>
      </c>
      <c r="BM75">
        <f t="shared" si="101"/>
        <v>-10.52097566233561</v>
      </c>
      <c r="BN75">
        <f t="shared" si="85"/>
        <v>-125.47833786010287</v>
      </c>
      <c r="BQ75" s="66">
        <f t="shared" si="102"/>
        <v>33.591006498199469</v>
      </c>
      <c r="BR75" s="71"/>
      <c r="BS75" s="71"/>
      <c r="BT75" s="71">
        <v>446.68400000000003</v>
      </c>
      <c r="BU75" s="71">
        <v>21.761099999999999</v>
      </c>
      <c r="BV75" s="71">
        <v>-265.3082</v>
      </c>
      <c r="BW75" s="75"/>
      <c r="BY75" s="71"/>
      <c r="BZ75" s="71"/>
      <c r="CA75" s="71"/>
      <c r="CC75" s="71"/>
    </row>
    <row r="76" spans="1:81" x14ac:dyDescent="0.2">
      <c r="A76">
        <f t="shared" si="54"/>
        <v>21000</v>
      </c>
      <c r="B76">
        <f t="shared" si="86"/>
        <v>21</v>
      </c>
      <c r="C76">
        <f t="shared" si="55"/>
        <v>1.6450994948474003</v>
      </c>
      <c r="D76">
        <f t="shared" si="56"/>
        <v>0.91742607070215842</v>
      </c>
      <c r="F76">
        <f t="shared" si="57"/>
        <v>1.1669322421890369E-2</v>
      </c>
      <c r="G76">
        <f t="shared" si="58"/>
        <v>4.4707659747527675E-2</v>
      </c>
      <c r="H76">
        <f t="shared" si="59"/>
        <v>-3.0968849902524727</v>
      </c>
      <c r="J76">
        <f t="shared" si="60"/>
        <v>15</v>
      </c>
      <c r="M76">
        <f t="shared" si="61"/>
        <v>0.16064281704522931</v>
      </c>
      <c r="N76">
        <f t="shared" si="62"/>
        <v>-1.5707963250000001</v>
      </c>
      <c r="O76">
        <f t="shared" si="63"/>
        <v>6.3024552626743633</v>
      </c>
      <c r="P76">
        <f t="shared" si="64"/>
        <v>1.4114545848430426</v>
      </c>
      <c r="Q76">
        <f t="shared" si="65"/>
        <v>8.6792112704196089</v>
      </c>
      <c r="R76">
        <f t="shared" si="66"/>
        <v>1.455322026583975</v>
      </c>
      <c r="S76">
        <f t="shared" si="67"/>
        <v>0.78706327099313134</v>
      </c>
      <c r="T76">
        <f t="shared" si="68"/>
        <v>-0.66476257049179188</v>
      </c>
      <c r="U76">
        <f t="shared" si="69"/>
        <v>0.99999718174656804</v>
      </c>
      <c r="V76">
        <f t="shared" si="70"/>
        <v>-2.3741334232837302E-3</v>
      </c>
      <c r="X76">
        <f t="shared" si="87"/>
        <v>5.983776656293216</v>
      </c>
      <c r="Y76">
        <f t="shared" si="71"/>
        <v>-88.84371456207316</v>
      </c>
      <c r="Z76">
        <f t="shared" si="88"/>
        <v>91.15628543792684</v>
      </c>
      <c r="AC76">
        <v>1</v>
      </c>
      <c r="AD76">
        <f t="shared" si="72"/>
        <v>6.2226153937080007</v>
      </c>
      <c r="AE76">
        <f t="shared" si="73"/>
        <v>-8.2105475695529641E-7</v>
      </c>
      <c r="AF76">
        <f t="shared" si="74"/>
        <v>3.458328020973E-4</v>
      </c>
      <c r="AG76">
        <f t="shared" si="89"/>
        <v>17986.166025080849</v>
      </c>
      <c r="AH76">
        <f t="shared" si="90"/>
        <v>-2934.2723449604287</v>
      </c>
      <c r="AJ76">
        <f t="shared" si="75"/>
        <v>18000</v>
      </c>
      <c r="AK76">
        <f t="shared" si="76"/>
        <v>14107.761617795999</v>
      </c>
      <c r="AL76">
        <v>1</v>
      </c>
      <c r="AM76">
        <f t="shared" si="77"/>
        <v>8.6214098775419998</v>
      </c>
      <c r="AN76">
        <f t="shared" si="91"/>
        <v>1853.5933849948649</v>
      </c>
      <c r="AO76">
        <f t="shared" si="92"/>
        <v>-1872.826700545241</v>
      </c>
      <c r="AQ76">
        <f t="shared" si="78"/>
        <v>5.6657223796033991</v>
      </c>
      <c r="AR76">
        <f t="shared" si="79"/>
        <v>-237.96033994334277</v>
      </c>
      <c r="AT76">
        <f t="shared" si="52"/>
        <v>-596335.8213215702</v>
      </c>
      <c r="AU76">
        <f t="shared" si="53"/>
        <v>-4296618.9540983345</v>
      </c>
      <c r="AV76">
        <f t="shared" si="93"/>
        <v>-1.7087071759849644</v>
      </c>
      <c r="AW76">
        <f t="shared" si="94"/>
        <v>-394047.31487681402</v>
      </c>
      <c r="AX76">
        <f t="shared" si="95"/>
        <v>-486386.05481619609</v>
      </c>
      <c r="AY76">
        <f t="shared" si="103"/>
        <v>-2.2516977745967455</v>
      </c>
      <c r="BA76">
        <f t="shared" si="80"/>
        <v>6.929677626953656</v>
      </c>
      <c r="BB76">
        <f t="shared" si="96"/>
        <v>16.814260628479573</v>
      </c>
      <c r="BC76">
        <f t="shared" si="97"/>
        <v>0.54299059861178112</v>
      </c>
      <c r="BD76">
        <f t="shared" si="81"/>
        <v>-148.88893034871322</v>
      </c>
      <c r="BF76">
        <f t="shared" si="82"/>
        <v>6.0008419799225461</v>
      </c>
      <c r="BG76">
        <f t="shared" si="83"/>
        <v>-93.762728203777783</v>
      </c>
      <c r="BH76">
        <f t="shared" si="98"/>
        <v>86.237271796222217</v>
      </c>
      <c r="BI76">
        <f t="shared" si="99"/>
        <v>86.237271796222217</v>
      </c>
      <c r="BJ76">
        <f t="shared" si="84"/>
        <v>0</v>
      </c>
      <c r="BK76">
        <f t="shared" si="100"/>
        <v>0</v>
      </c>
      <c r="BM76">
        <f t="shared" si="101"/>
        <v>-10.813418648557027</v>
      </c>
      <c r="BN76">
        <f t="shared" si="85"/>
        <v>-124.87379785506457</v>
      </c>
      <c r="BQ76" s="66">
        <f t="shared" si="102"/>
        <v>33.716221428764712</v>
      </c>
      <c r="BR76" s="70"/>
      <c r="BS76" s="70"/>
      <c r="BT76" s="71">
        <v>457.08800000000002</v>
      </c>
      <c r="BU76" s="70">
        <v>21.6126</v>
      </c>
      <c r="BV76" s="70">
        <v>-265.65139999999997</v>
      </c>
      <c r="BW76" s="75"/>
      <c r="BY76" s="71"/>
      <c r="BZ76" s="70"/>
      <c r="CA76" s="70"/>
      <c r="CC76" s="71"/>
    </row>
    <row r="77" spans="1:81" x14ac:dyDescent="0.2">
      <c r="A77">
        <f t="shared" si="54"/>
        <v>21500</v>
      </c>
      <c r="B77">
        <f t="shared" si="86"/>
        <v>21.5</v>
      </c>
      <c r="C77">
        <f t="shared" si="55"/>
        <v>1.6699025545175028</v>
      </c>
      <c r="D77">
        <f t="shared" si="56"/>
        <v>0.92874775516276842</v>
      </c>
      <c r="F77">
        <f t="shared" si="57"/>
        <v>1.1127371175845443E-2</v>
      </c>
      <c r="G77">
        <f t="shared" si="58"/>
        <v>4.3645678096959947E-2</v>
      </c>
      <c r="H77">
        <f t="shared" si="59"/>
        <v>-3.0979469719030401</v>
      </c>
      <c r="J77">
        <f t="shared" si="60"/>
        <v>15</v>
      </c>
      <c r="M77">
        <f t="shared" si="61"/>
        <v>0.15690693757906118</v>
      </c>
      <c r="N77">
        <f t="shared" si="62"/>
        <v>-1.5707963250000001</v>
      </c>
      <c r="O77">
        <f t="shared" si="63"/>
        <v>6.4487787512554551</v>
      </c>
      <c r="P77">
        <f t="shared" si="64"/>
        <v>1.4150999193088671</v>
      </c>
      <c r="Q77">
        <f t="shared" si="65"/>
        <v>8.8831473606713622</v>
      </c>
      <c r="R77">
        <f t="shared" si="66"/>
        <v>1.4579844822736698</v>
      </c>
      <c r="S77">
        <f t="shared" si="67"/>
        <v>0.77994511313953685</v>
      </c>
      <c r="T77">
        <f t="shared" si="68"/>
        <v>-0.67621821435026352</v>
      </c>
      <c r="U77">
        <f t="shared" si="69"/>
        <v>0.99999704594697592</v>
      </c>
      <c r="V77">
        <f t="shared" si="70"/>
        <v>-2.4306601894964678E-3</v>
      </c>
      <c r="X77">
        <f t="shared" si="87"/>
        <v>5.8184842287709158</v>
      </c>
      <c r="Y77">
        <f t="shared" si="71"/>
        <v>-88.55406592753171</v>
      </c>
      <c r="Z77">
        <f t="shared" si="88"/>
        <v>91.44593407246829</v>
      </c>
      <c r="AC77">
        <v>1</v>
      </c>
      <c r="AD77">
        <f t="shared" si="72"/>
        <v>6.3707729030820008</v>
      </c>
      <c r="AE77">
        <f t="shared" si="73"/>
        <v>-8.6061805306708789E-7</v>
      </c>
      <c r="AF77">
        <f t="shared" si="74"/>
        <v>3.5406691643295003E-4</v>
      </c>
      <c r="AG77">
        <f t="shared" si="89"/>
        <v>17986.161140039403</v>
      </c>
      <c r="AH77">
        <f t="shared" si="90"/>
        <v>-2868.0432083656533</v>
      </c>
      <c r="AJ77">
        <f t="shared" si="75"/>
        <v>18000</v>
      </c>
      <c r="AK77">
        <f t="shared" si="76"/>
        <v>14443.660703934</v>
      </c>
      <c r="AL77">
        <v>1</v>
      </c>
      <c r="AM77">
        <f t="shared" si="77"/>
        <v>8.8266815412930004</v>
      </c>
      <c r="AN77">
        <f t="shared" si="91"/>
        <v>1843.7337123300674</v>
      </c>
      <c r="AO77">
        <f t="shared" si="92"/>
        <v>-1830.3896217494257</v>
      </c>
      <c r="AQ77">
        <f t="shared" si="78"/>
        <v>5.4054054054054053</v>
      </c>
      <c r="AR77">
        <f t="shared" si="79"/>
        <v>-232.43243243243242</v>
      </c>
      <c r="AT77">
        <f t="shared" si="52"/>
        <v>-569403.76659288479</v>
      </c>
      <c r="AU77">
        <f t="shared" si="53"/>
        <v>-4196070.1201624861</v>
      </c>
      <c r="AV77">
        <f t="shared" si="93"/>
        <v>-1.7056717716599596</v>
      </c>
      <c r="AW77">
        <f t="shared" si="94"/>
        <v>-374324.18027838954</v>
      </c>
      <c r="AX77">
        <f t="shared" si="95"/>
        <v>-472323.82403707103</v>
      </c>
      <c r="AY77">
        <f t="shared" si="103"/>
        <v>-2.2409571558739283</v>
      </c>
      <c r="BA77">
        <f t="shared" si="80"/>
        <v>7.026305799175077</v>
      </c>
      <c r="BB77">
        <f t="shared" si="96"/>
        <v>16.934540944999018</v>
      </c>
      <c r="BC77">
        <f t="shared" si="97"/>
        <v>0.53528538421396865</v>
      </c>
      <c r="BD77">
        <f t="shared" si="81"/>
        <v>-149.33040661445577</v>
      </c>
      <c r="BF77">
        <f t="shared" si="82"/>
        <v>5.8380402086226768</v>
      </c>
      <c r="BG77">
        <f t="shared" si="83"/>
        <v>-93.616366798774678</v>
      </c>
      <c r="BH77">
        <f t="shared" si="98"/>
        <v>86.383633201225322</v>
      </c>
      <c r="BI77">
        <f t="shared" si="99"/>
        <v>86.383633201225322</v>
      </c>
      <c r="BJ77">
        <f t="shared" si="84"/>
        <v>0</v>
      </c>
      <c r="BK77">
        <f t="shared" si="100"/>
        <v>0</v>
      </c>
      <c r="BM77">
        <f t="shared" si="101"/>
        <v>-11.09650073637634</v>
      </c>
      <c r="BN77">
        <f t="shared" si="85"/>
        <v>-124.2859601843189</v>
      </c>
      <c r="BQ77" s="66">
        <f t="shared" si="102"/>
        <v>33.836501745284153</v>
      </c>
      <c r="BR77" s="72"/>
      <c r="BS77" s="72"/>
      <c r="BT77" s="72">
        <v>467.73500000000001</v>
      </c>
      <c r="BU77" s="72">
        <v>21.3672</v>
      </c>
      <c r="BV77" s="72">
        <v>-265.05009999999999</v>
      </c>
      <c r="BW77" s="75"/>
      <c r="BY77" s="72"/>
      <c r="BZ77" s="72"/>
      <c r="CA77" s="72"/>
      <c r="CC77" s="72"/>
    </row>
    <row r="78" spans="1:81" x14ac:dyDescent="0.2">
      <c r="A78">
        <f t="shared" si="54"/>
        <v>22000</v>
      </c>
      <c r="B78">
        <f t="shared" si="86"/>
        <v>22</v>
      </c>
      <c r="C78">
        <f t="shared" si="55"/>
        <v>1.6949133827636362</v>
      </c>
      <c r="D78">
        <f t="shared" si="56"/>
        <v>0.93973667915748538</v>
      </c>
      <c r="F78">
        <f t="shared" si="57"/>
        <v>1.0622431763395784E-2</v>
      </c>
      <c r="G78">
        <f t="shared" si="58"/>
        <v>4.2633453987622007E-2</v>
      </c>
      <c r="H78">
        <f t="shared" si="59"/>
        <v>-3.0989591960123781</v>
      </c>
      <c r="J78">
        <f t="shared" si="60"/>
        <v>15</v>
      </c>
      <c r="M78">
        <f t="shared" si="61"/>
        <v>0.1533408708159007</v>
      </c>
      <c r="N78">
        <f t="shared" si="62"/>
        <v>-1.5707963250000001</v>
      </c>
      <c r="O78">
        <f t="shared" si="63"/>
        <v>6.5951841310492441</v>
      </c>
      <c r="P78">
        <f t="shared" si="64"/>
        <v>1.4185834540389308</v>
      </c>
      <c r="Q78">
        <f t="shared" si="65"/>
        <v>9.0871435940071184</v>
      </c>
      <c r="R78">
        <f t="shared" si="66"/>
        <v>1.4605274170026981</v>
      </c>
      <c r="S78">
        <f t="shared" si="67"/>
        <v>0.77285584874154512</v>
      </c>
      <c r="T78">
        <f t="shared" si="68"/>
        <v>-0.68746706149525072</v>
      </c>
      <c r="U78">
        <f t="shared" si="69"/>
        <v>0.99999690695215682</v>
      </c>
      <c r="V78">
        <f t="shared" si="70"/>
        <v>-2.4871869401759225E-3</v>
      </c>
      <c r="X78">
        <f t="shared" si="87"/>
        <v>5.6574422715701065</v>
      </c>
      <c r="Y78">
        <f t="shared" si="71"/>
        <v>-88.284902074991891</v>
      </c>
      <c r="Z78">
        <f t="shared" si="88"/>
        <v>91.715097925008109</v>
      </c>
      <c r="AC78">
        <v>1</v>
      </c>
      <c r="AD78">
        <f t="shared" si="72"/>
        <v>6.5189304124560001</v>
      </c>
      <c r="AE78">
        <f t="shared" si="73"/>
        <v>-9.0111225026386253E-7</v>
      </c>
      <c r="AF78">
        <f t="shared" si="74"/>
        <v>3.623010307686E-4</v>
      </c>
      <c r="AG78">
        <f t="shared" si="89"/>
        <v>17986.156140058549</v>
      </c>
      <c r="AH78">
        <f t="shared" si="90"/>
        <v>-2804.8706995868647</v>
      </c>
      <c r="AJ78">
        <f t="shared" si="75"/>
        <v>18000</v>
      </c>
      <c r="AK78">
        <f t="shared" si="76"/>
        <v>14779.559790072</v>
      </c>
      <c r="AL78">
        <v>1</v>
      </c>
      <c r="AM78">
        <f t="shared" si="77"/>
        <v>9.0319532050439992</v>
      </c>
      <c r="AN78">
        <f t="shared" si="91"/>
        <v>1834.5277633749045</v>
      </c>
      <c r="AO78">
        <f t="shared" si="92"/>
        <v>-1789.8091220841691</v>
      </c>
      <c r="AQ78">
        <f t="shared" si="78"/>
        <v>5.1626226122870422</v>
      </c>
      <c r="AR78">
        <f t="shared" si="79"/>
        <v>-227.15539494062983</v>
      </c>
      <c r="AT78">
        <f t="shared" si="52"/>
        <v>-544285.77512526326</v>
      </c>
      <c r="AU78">
        <f t="shared" si="53"/>
        <v>-4100132.8903570622</v>
      </c>
      <c r="AV78">
        <f t="shared" si="93"/>
        <v>-1.7027730256493971</v>
      </c>
      <c r="AW78">
        <f t="shared" si="94"/>
        <v>-355902.64541534195</v>
      </c>
      <c r="AX78">
        <f t="shared" si="95"/>
        <v>-459079.29210540926</v>
      </c>
      <c r="AY78">
        <f t="shared" si="103"/>
        <v>-2.2302645029317869</v>
      </c>
      <c r="BA78">
        <f t="shared" si="80"/>
        <v>7.1204177855112647</v>
      </c>
      <c r="BB78">
        <f t="shared" si="96"/>
        <v>17.050109526161478</v>
      </c>
      <c r="BC78">
        <f t="shared" si="97"/>
        <v>0.52749147728238976</v>
      </c>
      <c r="BD78">
        <f t="shared" si="81"/>
        <v>-149.77696458806327</v>
      </c>
      <c r="BF78">
        <f t="shared" si="82"/>
        <v>5.6793638825396346</v>
      </c>
      <c r="BG78">
        <f t="shared" si="83"/>
        <v>-93.491301974828119</v>
      </c>
      <c r="BH78">
        <f t="shared" si="98"/>
        <v>86.508698025171881</v>
      </c>
      <c r="BI78">
        <f t="shared" si="99"/>
        <v>86.508698025171881</v>
      </c>
      <c r="BJ78">
        <f t="shared" si="84"/>
        <v>0</v>
      </c>
      <c r="BK78">
        <f t="shared" si="100"/>
        <v>0</v>
      </c>
      <c r="BM78">
        <f t="shared" si="101"/>
        <v>-11.370745643621841</v>
      </c>
      <c r="BN78">
        <f t="shared" si="85"/>
        <v>-123.71433738676487</v>
      </c>
      <c r="BQ78" s="66">
        <f t="shared" si="102"/>
        <v>33.952070326446616</v>
      </c>
      <c r="BR78" s="72"/>
      <c r="BS78" s="72"/>
      <c r="BT78" s="72">
        <v>478.63</v>
      </c>
      <c r="BU78" s="72">
        <v>21.195799999999998</v>
      </c>
      <c r="BV78" s="72">
        <v>-264.35129999999998</v>
      </c>
      <c r="BW78" s="75"/>
      <c r="BY78" s="72"/>
      <c r="BZ78" s="72"/>
      <c r="CA78" s="72"/>
      <c r="CC78" s="72"/>
    </row>
    <row r="79" spans="1:81" x14ac:dyDescent="0.2">
      <c r="A79">
        <f t="shared" si="54"/>
        <v>22500</v>
      </c>
      <c r="B79">
        <f t="shared" si="86"/>
        <v>22.5</v>
      </c>
      <c r="C79">
        <f t="shared" si="55"/>
        <v>1.720122916657046</v>
      </c>
      <c r="D79">
        <f t="shared" si="56"/>
        <v>0.95040476038645705</v>
      </c>
      <c r="F79">
        <f t="shared" si="57"/>
        <v>1.0151199330450358E-2</v>
      </c>
      <c r="G79">
        <f t="shared" si="58"/>
        <v>4.1667540603420303E-2</v>
      </c>
      <c r="H79">
        <f t="shared" si="59"/>
        <v>-3.0999251093965801</v>
      </c>
      <c r="J79">
        <f t="shared" si="60"/>
        <v>15</v>
      </c>
      <c r="M79">
        <f t="shared" si="61"/>
        <v>0.14993329590888069</v>
      </c>
      <c r="N79">
        <f t="shared" si="62"/>
        <v>-1.5707963250000001</v>
      </c>
      <c r="O79">
        <f t="shared" si="63"/>
        <v>6.7416660668866921</v>
      </c>
      <c r="P79">
        <f t="shared" si="64"/>
        <v>1.4219156482861097</v>
      </c>
      <c r="Q79">
        <f t="shared" si="65"/>
        <v>9.2911960089476526</v>
      </c>
      <c r="R79">
        <f t="shared" si="66"/>
        <v>1.4629586714734157</v>
      </c>
      <c r="S79">
        <f t="shared" si="67"/>
        <v>0.76580000630318146</v>
      </c>
      <c r="T79">
        <f t="shared" si="68"/>
        <v>-0.69851189085468723</v>
      </c>
      <c r="U79">
        <f t="shared" si="69"/>
        <v>0.99999676476211452</v>
      </c>
      <c r="V79">
        <f t="shared" si="70"/>
        <v>-2.5437136749608632E-3</v>
      </c>
      <c r="X79">
        <f t="shared" si="87"/>
        <v>5.5003800844958963</v>
      </c>
      <c r="Y79">
        <f t="shared" si="71"/>
        <v>-88.034848369168486</v>
      </c>
      <c r="Z79">
        <f t="shared" si="88"/>
        <v>91.965151630831514</v>
      </c>
      <c r="AC79">
        <v>1</v>
      </c>
      <c r="AD79">
        <f t="shared" si="72"/>
        <v>6.6670879218300012</v>
      </c>
      <c r="AE79">
        <f t="shared" si="73"/>
        <v>-9.4253734854562076E-7</v>
      </c>
      <c r="AF79">
        <f t="shared" si="74"/>
        <v>3.7053514510425003E-4</v>
      </c>
      <c r="AG79">
        <f t="shared" si="89"/>
        <v>17986.151025138483</v>
      </c>
      <c r="AH79">
        <f t="shared" si="90"/>
        <v>-2744.5510433609625</v>
      </c>
      <c r="AJ79">
        <f t="shared" si="75"/>
        <v>18000</v>
      </c>
      <c r="AK79">
        <f t="shared" si="76"/>
        <v>15115.458876209999</v>
      </c>
      <c r="AL79">
        <v>1</v>
      </c>
      <c r="AM79">
        <f t="shared" si="77"/>
        <v>9.2372248687949998</v>
      </c>
      <c r="AN79">
        <f t="shared" si="91"/>
        <v>1825.9192173558815</v>
      </c>
      <c r="AO79">
        <f t="shared" si="92"/>
        <v>-1750.9675267604518</v>
      </c>
      <c r="AQ79">
        <f t="shared" si="78"/>
        <v>4.9358341559723593</v>
      </c>
      <c r="AR79">
        <f t="shared" si="79"/>
        <v>-222.11253701875617</v>
      </c>
      <c r="AT79">
        <f t="shared" si="52"/>
        <v>-520822.53665402182</v>
      </c>
      <c r="AU79">
        <f t="shared" si="53"/>
        <v>-4008496.2841786407</v>
      </c>
      <c r="AV79">
        <f t="shared" si="93"/>
        <v>-1.7000021536519252</v>
      </c>
      <c r="AW79">
        <f t="shared" si="94"/>
        <v>-338671.22176099912</v>
      </c>
      <c r="AX79">
        <f t="shared" si="95"/>
        <v>-446582.93167824356</v>
      </c>
      <c r="AY79">
        <f t="shared" si="103"/>
        <v>-2.2196272391958183</v>
      </c>
      <c r="BA79">
        <f t="shared" si="80"/>
        <v>7.212052488320384</v>
      </c>
      <c r="BB79">
        <f t="shared" si="96"/>
        <v>17.161177575940609</v>
      </c>
      <c r="BC79">
        <f t="shared" si="97"/>
        <v>0.51962508554389308</v>
      </c>
      <c r="BD79">
        <f t="shared" si="81"/>
        <v>-150.22767563519074</v>
      </c>
      <c r="BF79">
        <f t="shared" si="82"/>
        <v>5.5245395088512215</v>
      </c>
      <c r="BG79">
        <f t="shared" si="83"/>
        <v>-93.386119751687517</v>
      </c>
      <c r="BH79">
        <f t="shared" si="98"/>
        <v>86.613880248312483</v>
      </c>
      <c r="BI79">
        <f t="shared" si="99"/>
        <v>86.613880248312483</v>
      </c>
      <c r="BJ79">
        <f t="shared" si="84"/>
        <v>0</v>
      </c>
      <c r="BK79">
        <f t="shared" si="100"/>
        <v>0</v>
      </c>
      <c r="BM79">
        <f t="shared" si="101"/>
        <v>-11.63663806708939</v>
      </c>
      <c r="BN79">
        <f t="shared" si="85"/>
        <v>-123.15844411649681</v>
      </c>
      <c r="BQ79" s="66">
        <f t="shared" si="102"/>
        <v>34.063138376225751</v>
      </c>
      <c r="BR79" s="71"/>
      <c r="BS79" s="71"/>
      <c r="BT79" s="71">
        <v>489.779</v>
      </c>
      <c r="BU79" s="71">
        <v>20.944800000000001</v>
      </c>
      <c r="BV79" s="71">
        <v>-263.91079999999999</v>
      </c>
      <c r="BW79" s="75"/>
      <c r="BY79" s="71"/>
      <c r="BZ79" s="71"/>
      <c r="CA79" s="71"/>
      <c r="CC79" s="71"/>
    </row>
    <row r="80" spans="1:81" x14ac:dyDescent="0.2">
      <c r="A80">
        <f t="shared" si="54"/>
        <v>23000</v>
      </c>
      <c r="B80">
        <f t="shared" si="86"/>
        <v>23</v>
      </c>
      <c r="C80">
        <f t="shared" si="55"/>
        <v>1.7455225468599636</v>
      </c>
      <c r="D80">
        <f t="shared" si="56"/>
        <v>0.96076352319676783</v>
      </c>
      <c r="F80">
        <f t="shared" si="57"/>
        <v>9.7107308316109007E-3</v>
      </c>
      <c r="G80">
        <f t="shared" si="58"/>
        <v>4.0744804728803811E-2</v>
      </c>
      <c r="H80">
        <f t="shared" si="59"/>
        <v>-3.1008478452711965</v>
      </c>
      <c r="J80">
        <f t="shared" si="60"/>
        <v>15</v>
      </c>
      <c r="M80">
        <f t="shared" si="61"/>
        <v>0.14667387643260066</v>
      </c>
      <c r="N80">
        <f t="shared" si="62"/>
        <v>-1.5707963250000001</v>
      </c>
      <c r="O80">
        <f t="shared" si="63"/>
        <v>6.8882196747452094</v>
      </c>
      <c r="P80">
        <f t="shared" si="64"/>
        <v>1.4251060853324862</v>
      </c>
      <c r="Q80">
        <f t="shared" si="65"/>
        <v>9.495300983494058</v>
      </c>
      <c r="R80">
        <f t="shared" si="66"/>
        <v>1.4652854177973518</v>
      </c>
      <c r="S80">
        <f t="shared" si="67"/>
        <v>0.7587817728151961</v>
      </c>
      <c r="T80">
        <f t="shared" si="68"/>
        <v>-0.70935558061379433</v>
      </c>
      <c r="U80">
        <f t="shared" si="69"/>
        <v>0.9999966193768528</v>
      </c>
      <c r="V80">
        <f t="shared" si="70"/>
        <v>-2.6002403934900615E-3</v>
      </c>
      <c r="X80">
        <f t="shared" si="87"/>
        <v>5.3470510906621822</v>
      </c>
      <c r="Y80">
        <f t="shared" si="71"/>
        <v>-87.802628928144941</v>
      </c>
      <c r="Z80">
        <f t="shared" si="88"/>
        <v>92.197371071855059</v>
      </c>
      <c r="AC80">
        <v>1</v>
      </c>
      <c r="AD80">
        <f t="shared" si="72"/>
        <v>6.8152454312040014</v>
      </c>
      <c r="AE80">
        <f t="shared" si="73"/>
        <v>-9.8489334791236226E-7</v>
      </c>
      <c r="AF80">
        <f t="shared" si="74"/>
        <v>3.787692594399E-4</v>
      </c>
      <c r="AG80">
        <f t="shared" si="89"/>
        <v>17986.145795279401</v>
      </c>
      <c r="AH80">
        <f t="shared" si="90"/>
        <v>-2686.8981840112483</v>
      </c>
      <c r="AJ80">
        <f t="shared" si="75"/>
        <v>18000</v>
      </c>
      <c r="AK80">
        <f t="shared" si="76"/>
        <v>15451.357962348</v>
      </c>
      <c r="AL80">
        <v>1</v>
      </c>
      <c r="AM80">
        <f t="shared" si="77"/>
        <v>9.4424965325459986</v>
      </c>
      <c r="AN80">
        <f t="shared" si="91"/>
        <v>1817.8576682937701</v>
      </c>
      <c r="AO80">
        <f t="shared" si="92"/>
        <v>-1713.7567671780769</v>
      </c>
      <c r="AQ80">
        <f t="shared" si="78"/>
        <v>4.7236655644780345</v>
      </c>
      <c r="AR80">
        <f t="shared" si="79"/>
        <v>-217.28861596598961</v>
      </c>
      <c r="AT80">
        <f t="shared" si="52"/>
        <v>-498871.85011449235</v>
      </c>
      <c r="AU80">
        <f t="shared" si="53"/>
        <v>-3920876.7348458366</v>
      </c>
      <c r="AV80">
        <f t="shared" si="93"/>
        <v>-1.6973511018090044</v>
      </c>
      <c r="AW80">
        <f t="shared" si="94"/>
        <v>-322530.04797771544</v>
      </c>
      <c r="AX80">
        <f t="shared" si="95"/>
        <v>-434772.80199895921</v>
      </c>
      <c r="AY80">
        <f t="shared" si="103"/>
        <v>-2.2090518665633434</v>
      </c>
      <c r="BA80">
        <f t="shared" si="80"/>
        <v>7.3012507751403417</v>
      </c>
      <c r="BB80">
        <f t="shared" si="96"/>
        <v>17.267945307096163</v>
      </c>
      <c r="BC80">
        <f t="shared" si="97"/>
        <v>0.51170076475433901</v>
      </c>
      <c r="BD80">
        <f t="shared" si="81"/>
        <v>-150.68170577245874</v>
      </c>
      <c r="BF80">
        <f t="shared" si="82"/>
        <v>5.3733180719131548</v>
      </c>
      <c r="BG80">
        <f t="shared" si="83"/>
        <v>-93.299505369550729</v>
      </c>
      <c r="BH80">
        <f t="shared" si="98"/>
        <v>86.700494630449271</v>
      </c>
      <c r="BI80">
        <f t="shared" si="99"/>
        <v>86.700494630449271</v>
      </c>
      <c r="BJ80">
        <f t="shared" si="84"/>
        <v>0</v>
      </c>
      <c r="BK80">
        <f t="shared" si="100"/>
        <v>0</v>
      </c>
      <c r="BM80">
        <f t="shared" si="101"/>
        <v>-11.894627235183009</v>
      </c>
      <c r="BN80">
        <f t="shared" si="85"/>
        <v>-122.617799597092</v>
      </c>
      <c r="BQ80" s="66">
        <f t="shared" si="102"/>
        <v>34.169906107381301</v>
      </c>
      <c r="BR80" s="71"/>
      <c r="BS80" s="71"/>
      <c r="BT80" s="71">
        <v>501.18700000000001</v>
      </c>
      <c r="BU80" s="71">
        <v>20.7819</v>
      </c>
      <c r="BV80" s="71">
        <v>-264.7826</v>
      </c>
      <c r="BW80" s="75"/>
      <c r="BY80" s="71"/>
      <c r="BZ80" s="71"/>
      <c r="CA80" s="71"/>
      <c r="CC80" s="71"/>
    </row>
    <row r="81" spans="1:81" x14ac:dyDescent="0.2">
      <c r="A81">
        <f t="shared" si="54"/>
        <v>23500</v>
      </c>
      <c r="B81">
        <f t="shared" si="86"/>
        <v>23.5</v>
      </c>
      <c r="C81">
        <f t="shared" si="55"/>
        <v>1.7711040948048551</v>
      </c>
      <c r="D81">
        <f t="shared" si="56"/>
        <v>0.97082409912134815</v>
      </c>
      <c r="F81">
        <f t="shared" si="57"/>
        <v>9.2983983964727308E-3</v>
      </c>
      <c r="G81">
        <f t="shared" si="58"/>
        <v>3.9862391637436746E-2</v>
      </c>
      <c r="H81">
        <f t="shared" si="59"/>
        <v>-3.1017302583625637</v>
      </c>
      <c r="J81">
        <f t="shared" si="60"/>
        <v>15</v>
      </c>
      <c r="M81">
        <f t="shared" si="61"/>
        <v>0.14355315565743895</v>
      </c>
      <c r="N81">
        <f t="shared" si="62"/>
        <v>-1.5707963250000001</v>
      </c>
      <c r="O81">
        <f t="shared" si="63"/>
        <v>7.0348404752951117</v>
      </c>
      <c r="P81">
        <f t="shared" si="64"/>
        <v>1.4281635616564523</v>
      </c>
      <c r="Q81">
        <f t="shared" si="65"/>
        <v>9.6994551996222906</v>
      </c>
      <c r="R81">
        <f t="shared" si="66"/>
        <v>1.4675142290147218</v>
      </c>
      <c r="S81">
        <f t="shared" si="67"/>
        <v>0.75180500755265012</v>
      </c>
      <c r="T81">
        <f t="shared" si="68"/>
        <v>-0.72000109433510573</v>
      </c>
      <c r="U81">
        <f t="shared" si="69"/>
        <v>0.99999647079637621</v>
      </c>
      <c r="V81">
        <f t="shared" si="70"/>
        <v>-2.6567670954022867E-3</v>
      </c>
      <c r="X81">
        <f t="shared" si="87"/>
        <v>5.1972303278656291</v>
      </c>
      <c r="Y81">
        <f t="shared" si="71"/>
        <v>-87.587058716889587</v>
      </c>
      <c r="Z81">
        <f t="shared" si="88"/>
        <v>92.412941283110413</v>
      </c>
      <c r="AC81">
        <v>1</v>
      </c>
      <c r="AD81">
        <f t="shared" si="72"/>
        <v>6.9634029405780007</v>
      </c>
      <c r="AE81">
        <f t="shared" si="73"/>
        <v>-1.028180248364087E-6</v>
      </c>
      <c r="AF81">
        <f t="shared" si="74"/>
        <v>3.8700337377555003E-4</v>
      </c>
      <c r="AG81">
        <f t="shared" si="89"/>
        <v>17986.1404504815</v>
      </c>
      <c r="AH81">
        <f t="shared" si="90"/>
        <v>-2631.7419003850382</v>
      </c>
      <c r="AJ81">
        <f t="shared" si="75"/>
        <v>18000</v>
      </c>
      <c r="AK81">
        <f t="shared" si="76"/>
        <v>15787.257048486001</v>
      </c>
      <c r="AL81">
        <v>1</v>
      </c>
      <c r="AM81">
        <f t="shared" si="77"/>
        <v>9.6477681962969992</v>
      </c>
      <c r="AN81">
        <f t="shared" si="91"/>
        <v>1810.2978976599027</v>
      </c>
      <c r="AO81">
        <f t="shared" si="92"/>
        <v>-1678.0774343805256</v>
      </c>
      <c r="AQ81">
        <f t="shared" si="78"/>
        <v>4.5248868778280542</v>
      </c>
      <c r="AR81">
        <f t="shared" si="79"/>
        <v>-212.66968325791856</v>
      </c>
      <c r="AT81">
        <f t="shared" si="52"/>
        <v>-478306.46546432265</v>
      </c>
      <c r="AU81">
        <f t="shared" si="53"/>
        <v>-3837015.1270272196</v>
      </c>
      <c r="AV81">
        <f t="shared" si="93"/>
        <v>-1.6948124730046819</v>
      </c>
      <c r="AW81">
        <f t="shared" si="94"/>
        <v>-307389.47177451552</v>
      </c>
      <c r="AX81">
        <f t="shared" si="95"/>
        <v>-423593.55662878527</v>
      </c>
      <c r="AY81">
        <f t="shared" si="103"/>
        <v>-2.1985440624140833</v>
      </c>
      <c r="BA81">
        <f t="shared" si="80"/>
        <v>7.3880551575304434</v>
      </c>
      <c r="BB81">
        <f t="shared" si="96"/>
        <v>17.370602582472053</v>
      </c>
      <c r="BC81">
        <f t="shared" si="97"/>
        <v>0.50373158940940144</v>
      </c>
      <c r="BD81">
        <f t="shared" si="81"/>
        <v>-151.13830588644512</v>
      </c>
      <c r="BF81">
        <f t="shared" si="82"/>
        <v>5.2254725045527213</v>
      </c>
      <c r="BG81">
        <f t="shared" si="83"/>
        <v>-93.230235488909244</v>
      </c>
      <c r="BH81">
        <f t="shared" si="98"/>
        <v>86.769764511090756</v>
      </c>
      <c r="BI81">
        <f t="shared" si="99"/>
        <v>86.769764511090756</v>
      </c>
      <c r="BJ81">
        <f t="shared" si="84"/>
        <v>0</v>
      </c>
      <c r="BK81">
        <f t="shared" si="100"/>
        <v>0</v>
      </c>
      <c r="BM81">
        <f t="shared" si="101"/>
        <v>-12.14513007791933</v>
      </c>
      <c r="BN81">
        <f t="shared" si="85"/>
        <v>-122.09192960246412</v>
      </c>
      <c r="BQ81" s="66">
        <f t="shared" si="102"/>
        <v>34.272563382757191</v>
      </c>
      <c r="BR81" s="71"/>
      <c r="BS81" s="71"/>
      <c r="BT81" s="71">
        <v>512.86099999999999</v>
      </c>
      <c r="BU81" s="71">
        <v>20.634799999999998</v>
      </c>
      <c r="BV81" s="71">
        <v>-265.04300000000001</v>
      </c>
      <c r="BW81" s="75"/>
      <c r="BY81" s="71"/>
      <c r="BZ81" s="71"/>
      <c r="CA81" s="71"/>
      <c r="CC81" s="71"/>
    </row>
    <row r="82" spans="1:81" x14ac:dyDescent="0.2">
      <c r="A82">
        <f t="shared" si="54"/>
        <v>24000</v>
      </c>
      <c r="B82">
        <f t="shared" si="86"/>
        <v>24</v>
      </c>
      <c r="C82">
        <f t="shared" si="55"/>
        <v>1.7968597907245953</v>
      </c>
      <c r="D82">
        <f t="shared" si="56"/>
        <v>0.98059722973240004</v>
      </c>
      <c r="F82">
        <f t="shared" si="57"/>
        <v>8.911849577451246E-3</v>
      </c>
      <c r="G82">
        <f t="shared" si="58"/>
        <v>3.9017694622422716E-2</v>
      </c>
      <c r="H82">
        <f t="shared" si="59"/>
        <v>-3.1025749553775777</v>
      </c>
      <c r="J82">
        <f t="shared" si="60"/>
        <v>15</v>
      </c>
      <c r="M82">
        <f t="shared" si="61"/>
        <v>0.14056246491457564</v>
      </c>
      <c r="N82">
        <f t="shared" si="62"/>
        <v>-1.5707963250000001</v>
      </c>
      <c r="O82">
        <f t="shared" si="63"/>
        <v>7.1815243530410386</v>
      </c>
      <c r="P82">
        <f t="shared" si="64"/>
        <v>1.4310961655033438</v>
      </c>
      <c r="Q82">
        <f t="shared" si="65"/>
        <v>9.9036556121310433</v>
      </c>
      <c r="R82">
        <f t="shared" si="66"/>
        <v>1.4696511401471364</v>
      </c>
      <c r="S82">
        <f t="shared" si="67"/>
        <v>0.74487325613716215</v>
      </c>
      <c r="T82">
        <f t="shared" si="68"/>
        <v>-0.73045146796341121</v>
      </c>
      <c r="U82">
        <f t="shared" si="69"/>
        <v>0.99999631902068908</v>
      </c>
      <c r="V82">
        <f t="shared" si="70"/>
        <v>-2.7132937803363115E-3</v>
      </c>
      <c r="X82">
        <f t="shared" si="87"/>
        <v>5.0507122340941617</v>
      </c>
      <c r="Y82">
        <f t="shared" si="71"/>
        <v>-87.387036385166013</v>
      </c>
      <c r="Z82">
        <f t="shared" si="88"/>
        <v>92.612963614833987</v>
      </c>
      <c r="AC82">
        <v>1</v>
      </c>
      <c r="AD82">
        <f t="shared" si="72"/>
        <v>7.111560449952</v>
      </c>
      <c r="AE82">
        <f t="shared" si="73"/>
        <v>-1.0723980499007953E-6</v>
      </c>
      <c r="AF82">
        <f t="shared" si="74"/>
        <v>3.952374881112E-4</v>
      </c>
      <c r="AG82">
        <f t="shared" si="89"/>
        <v>17986.134990744995</v>
      </c>
      <c r="AH82">
        <f t="shared" si="90"/>
        <v>-2578.9261564240855</v>
      </c>
      <c r="AJ82">
        <f t="shared" si="75"/>
        <v>18000</v>
      </c>
      <c r="AK82">
        <f t="shared" si="76"/>
        <v>16123.156134623998</v>
      </c>
      <c r="AL82">
        <v>1</v>
      </c>
      <c r="AM82">
        <f t="shared" si="77"/>
        <v>9.8530398600479998</v>
      </c>
      <c r="AN82">
        <f t="shared" si="91"/>
        <v>1803.1992489093377</v>
      </c>
      <c r="AO82">
        <f t="shared" si="92"/>
        <v>-1643.8379404883233</v>
      </c>
      <c r="AQ82">
        <f t="shared" si="78"/>
        <v>4.3383947939262475</v>
      </c>
      <c r="AR82">
        <f t="shared" si="79"/>
        <v>-208.24295010845987</v>
      </c>
      <c r="AT82">
        <f t="shared" si="52"/>
        <v>-459012.23651892028</v>
      </c>
      <c r="AU82">
        <f t="shared" si="53"/>
        <v>-3756674.2113326844</v>
      </c>
      <c r="AV82">
        <f t="shared" si="93"/>
        <v>-1.6923794618305685</v>
      </c>
      <c r="AW82">
        <f t="shared" si="94"/>
        <v>-293168.82852557296</v>
      </c>
      <c r="AX82">
        <f t="shared" si="95"/>
        <v>-412995.60057071556</v>
      </c>
      <c r="AY82">
        <f t="shared" si="103"/>
        <v>-2.1881087655915987</v>
      </c>
      <c r="BA82">
        <f t="shared" si="80"/>
        <v>7.4725094993962173</v>
      </c>
      <c r="BB82">
        <f t="shared" si="96"/>
        <v>17.469329516133993</v>
      </c>
      <c r="BC82">
        <f t="shared" si="97"/>
        <v>0.49572930376103019</v>
      </c>
      <c r="BD82">
        <f t="shared" si="81"/>
        <v>-151.5968030810788</v>
      </c>
      <c r="BF82">
        <f t="shared" si="82"/>
        <v>5.0807954536665312</v>
      </c>
      <c r="BG82">
        <f t="shared" si="83"/>
        <v>-93.177171120242619</v>
      </c>
      <c r="BH82">
        <f t="shared" si="98"/>
        <v>86.822828879757381</v>
      </c>
      <c r="BI82">
        <f t="shared" si="99"/>
        <v>86.822828879757381</v>
      </c>
      <c r="BJ82">
        <f t="shared" si="84"/>
        <v>0</v>
      </c>
      <c r="BK82">
        <f t="shared" si="100"/>
        <v>0</v>
      </c>
      <c r="BM82">
        <f t="shared" si="101"/>
        <v>-12.38853406246746</v>
      </c>
      <c r="BN82">
        <f t="shared" si="85"/>
        <v>-121.5803680391638</v>
      </c>
      <c r="BQ82" s="66">
        <f t="shared" si="102"/>
        <v>34.371290316419127</v>
      </c>
      <c r="BR82" s="71"/>
      <c r="BS82" s="71"/>
      <c r="BT82" s="71">
        <v>524.80700000000002</v>
      </c>
      <c r="BU82" s="71">
        <v>20.243600000000001</v>
      </c>
      <c r="BV82" s="71">
        <v>-263.95569999999998</v>
      </c>
      <c r="BW82" s="75"/>
      <c r="BY82" s="71"/>
      <c r="BZ82" s="71"/>
      <c r="CA82" s="71"/>
      <c r="CC82" s="71"/>
    </row>
    <row r="83" spans="1:81" x14ac:dyDescent="0.2">
      <c r="A83">
        <f t="shared" si="54"/>
        <v>24500</v>
      </c>
      <c r="B83">
        <f t="shared" si="86"/>
        <v>24.5</v>
      </c>
      <c r="C83">
        <f t="shared" si="55"/>
        <v>1.8227822525637634</v>
      </c>
      <c r="D83">
        <f t="shared" si="56"/>
        <v>0.99009327141085046</v>
      </c>
      <c r="F83">
        <f t="shared" si="57"/>
        <v>8.548973339986091E-3</v>
      </c>
      <c r="G83">
        <f t="shared" si="58"/>
        <v>3.8208328464061754E-2</v>
      </c>
      <c r="H83">
        <f t="shared" si="59"/>
        <v>-3.1033843215359385</v>
      </c>
      <c r="J83">
        <f t="shared" si="60"/>
        <v>15</v>
      </c>
      <c r="M83">
        <f t="shared" si="61"/>
        <v>0.13769384318162511</v>
      </c>
      <c r="N83">
        <f t="shared" si="62"/>
        <v>-1.5707963250000001</v>
      </c>
      <c r="O83">
        <f t="shared" si="63"/>
        <v>7.3282675202915781</v>
      </c>
      <c r="P83">
        <f t="shared" si="64"/>
        <v>1.4339113462895718</v>
      </c>
      <c r="Q83">
        <f t="shared" si="65"/>
        <v>10.107899421234254</v>
      </c>
      <c r="R83">
        <f t="shared" si="66"/>
        <v>1.4717017019584062</v>
      </c>
      <c r="S83">
        <f t="shared" si="67"/>
        <v>0.73798976473753264</v>
      </c>
      <c r="T83">
        <f t="shared" si="68"/>
        <v>-0.74070979769776646</v>
      </c>
      <c r="U83">
        <f t="shared" si="69"/>
        <v>0.99999616404979552</v>
      </c>
      <c r="V83">
        <f t="shared" si="70"/>
        <v>-2.7698204479309077E-3</v>
      </c>
      <c r="X83">
        <f t="shared" si="87"/>
        <v>4.9073086881031189</v>
      </c>
      <c r="Y83">
        <f t="shared" si="71"/>
        <v>-87.201537762734887</v>
      </c>
      <c r="Z83">
        <f t="shared" si="88"/>
        <v>92.798462237265113</v>
      </c>
      <c r="AC83">
        <v>1</v>
      </c>
      <c r="AD83">
        <f t="shared" si="72"/>
        <v>7.2597179593260011</v>
      </c>
      <c r="AE83">
        <f t="shared" si="73"/>
        <v>-1.1175467525224864E-6</v>
      </c>
      <c r="AF83">
        <f t="shared" si="74"/>
        <v>4.0347160244685003E-4</v>
      </c>
      <c r="AG83">
        <f t="shared" si="89"/>
        <v>17986.129416070089</v>
      </c>
      <c r="AH83">
        <f t="shared" si="90"/>
        <v>-2528.3076537059578</v>
      </c>
      <c r="AJ83">
        <f t="shared" si="75"/>
        <v>18000</v>
      </c>
      <c r="AK83">
        <f t="shared" si="76"/>
        <v>16459.055220761998</v>
      </c>
      <c r="AL83">
        <v>1</v>
      </c>
      <c r="AM83">
        <f t="shared" si="77"/>
        <v>10.058311523798999</v>
      </c>
      <c r="AN83">
        <f t="shared" si="91"/>
        <v>1796.5250879609039</v>
      </c>
      <c r="AO83">
        <f t="shared" si="92"/>
        <v>-1610.9537742691712</v>
      </c>
      <c r="AQ83">
        <f t="shared" si="78"/>
        <v>4.1631973355537051</v>
      </c>
      <c r="AR83">
        <f t="shared" si="79"/>
        <v>-203.99666944213155</v>
      </c>
      <c r="AT83">
        <f t="shared" si="52"/>
        <v>-440886.53461915837</v>
      </c>
      <c r="AU83">
        <f t="shared" si="53"/>
        <v>-3679636.340720817</v>
      </c>
      <c r="AV83">
        <f t="shared" si="93"/>
        <v>-1.6900457970616141</v>
      </c>
      <c r="AW83">
        <f t="shared" si="94"/>
        <v>-279795.38621582842</v>
      </c>
      <c r="AX83">
        <f t="shared" si="95"/>
        <v>-402934.37156655709</v>
      </c>
      <c r="AY83">
        <f t="shared" si="103"/>
        <v>-2.1777502528049557</v>
      </c>
      <c r="BA83">
        <f t="shared" si="80"/>
        <v>7.5546587524266133</v>
      </c>
      <c r="BB83">
        <f t="shared" si="96"/>
        <v>17.564297036544666</v>
      </c>
      <c r="BC83">
        <f t="shared" si="97"/>
        <v>0.48770445574334165</v>
      </c>
      <c r="BD83">
        <f t="shared" si="81"/>
        <v>-152.05659300425168</v>
      </c>
      <c r="BF83">
        <f t="shared" si="82"/>
        <v>4.9390973011891779</v>
      </c>
      <c r="BG83">
        <f t="shared" si="83"/>
        <v>-93.139251197546031</v>
      </c>
      <c r="BH83">
        <f t="shared" si="98"/>
        <v>86.860748802453969</v>
      </c>
      <c r="BI83">
        <f t="shared" si="99"/>
        <v>86.860748802453969</v>
      </c>
      <c r="BJ83">
        <f t="shared" si="84"/>
        <v>0</v>
      </c>
      <c r="BK83">
        <f t="shared" si="100"/>
        <v>0</v>
      </c>
      <c r="BM83">
        <f t="shared" si="101"/>
        <v>-12.625199735355487</v>
      </c>
      <c r="BN83">
        <f t="shared" si="85"/>
        <v>-121.08265819329435</v>
      </c>
      <c r="BQ83" s="66">
        <f t="shared" si="102"/>
        <v>34.466257836829804</v>
      </c>
      <c r="BR83" s="71"/>
      <c r="BS83" s="71"/>
      <c r="BT83" s="71">
        <v>537.03200000000004</v>
      </c>
      <c r="BU83" s="71">
        <v>20.2926</v>
      </c>
      <c r="BV83" s="71">
        <v>-264.56819999999999</v>
      </c>
      <c r="BW83" s="75"/>
      <c r="BY83" s="71"/>
      <c r="BZ83" s="71"/>
      <c r="CA83" s="71"/>
      <c r="CC83" s="71"/>
    </row>
    <row r="84" spans="1:81" x14ac:dyDescent="0.2">
      <c r="A84">
        <f t="shared" si="54"/>
        <v>25000</v>
      </c>
      <c r="B84">
        <f t="shared" si="86"/>
        <v>25</v>
      </c>
      <c r="C84">
        <f t="shared" si="55"/>
        <v>1.8488644657871218</v>
      </c>
      <c r="D84">
        <f t="shared" si="56"/>
        <v>0.99932220168389552</v>
      </c>
      <c r="F84">
        <f t="shared" si="57"/>
        <v>8.2078708642540615E-3</v>
      </c>
      <c r="G84">
        <f t="shared" si="58"/>
        <v>3.7432106251095824E-2</v>
      </c>
      <c r="H84">
        <f t="shared" si="59"/>
        <v>-3.1041605437489044</v>
      </c>
      <c r="J84">
        <f t="shared" si="60"/>
        <v>15</v>
      </c>
      <c r="M84">
        <f t="shared" si="61"/>
        <v>0.1349399663179926</v>
      </c>
      <c r="N84">
        <f t="shared" si="62"/>
        <v>-1.5707963250000001</v>
      </c>
      <c r="O84">
        <f t="shared" si="63"/>
        <v>7.4750664853074893</v>
      </c>
      <c r="P84">
        <f t="shared" si="64"/>
        <v>1.4366159760554846</v>
      </c>
      <c r="Q84">
        <f t="shared" si="65"/>
        <v>10.31218404838466</v>
      </c>
      <c r="R84">
        <f t="shared" si="66"/>
        <v>1.4736710284162768</v>
      </c>
      <c r="S84">
        <f t="shared" si="67"/>
        <v>0.73115749429748422</v>
      </c>
      <c r="T84">
        <f t="shared" si="68"/>
        <v>-0.75077922870803326</v>
      </c>
      <c r="U84">
        <f t="shared" si="69"/>
        <v>0.99999600588370008</v>
      </c>
      <c r="V84">
        <f t="shared" si="70"/>
        <v>-2.8263470978248484E-3</v>
      </c>
      <c r="X84">
        <f t="shared" si="87"/>
        <v>4.7668472719247559</v>
      </c>
      <c r="Y84">
        <f t="shared" si="71"/>
        <v>-87.029609937443354</v>
      </c>
      <c r="Z84">
        <f t="shared" si="88"/>
        <v>92.970390062556646</v>
      </c>
      <c r="AC84">
        <v>1</v>
      </c>
      <c r="AD84">
        <f t="shared" si="72"/>
        <v>7.4078754687000004</v>
      </c>
      <c r="AE84">
        <f t="shared" si="73"/>
        <v>-1.1636263562291614E-6</v>
      </c>
      <c r="AF84">
        <f t="shared" si="74"/>
        <v>4.117057167825E-4</v>
      </c>
      <c r="AG84">
        <f t="shared" si="89"/>
        <v>17986.123726456983</v>
      </c>
      <c r="AH84">
        <f t="shared" si="90"/>
        <v>-2479.7545576804569</v>
      </c>
      <c r="AJ84">
        <f t="shared" si="75"/>
        <v>18000</v>
      </c>
      <c r="AK84">
        <f t="shared" si="76"/>
        <v>16794.954306899999</v>
      </c>
      <c r="AL84">
        <v>1</v>
      </c>
      <c r="AM84">
        <f t="shared" si="77"/>
        <v>10.263583187550001</v>
      </c>
      <c r="AN84">
        <f t="shared" si="91"/>
        <v>1790.2423364327062</v>
      </c>
      <c r="AO84">
        <f t="shared" si="92"/>
        <v>-1579.3468389509583</v>
      </c>
      <c r="AQ84">
        <f t="shared" si="78"/>
        <v>3.9984006397441023</v>
      </c>
      <c r="AR84">
        <f t="shared" si="79"/>
        <v>-199.92003198720511</v>
      </c>
      <c r="AT84">
        <f t="shared" si="52"/>
        <v>-423836.88187751244</v>
      </c>
      <c r="AU84">
        <f t="shared" si="53"/>
        <v>-3605701.4829289466</v>
      </c>
      <c r="AV84">
        <f t="shared" si="93"/>
        <v>-1.6878056906589827</v>
      </c>
      <c r="AW84">
        <f t="shared" si="94"/>
        <v>-267203.43144751643</v>
      </c>
      <c r="AX84">
        <f t="shared" si="95"/>
        <v>-393369.7250348673</v>
      </c>
      <c r="AY84">
        <f t="shared" si="103"/>
        <v>-2.1674722066789709</v>
      </c>
      <c r="BA84">
        <f t="shared" si="80"/>
        <v>7.6345487165002099</v>
      </c>
      <c r="BB84">
        <f t="shared" si="96"/>
        <v>17.655667414027793</v>
      </c>
      <c r="BC84">
        <f t="shared" si="97"/>
        <v>0.47966651601998822</v>
      </c>
      <c r="BD84">
        <f t="shared" si="81"/>
        <v>-152.51713302690663</v>
      </c>
      <c r="BF84">
        <f t="shared" si="82"/>
        <v>4.8002044074117221</v>
      </c>
      <c r="BG84">
        <f t="shared" si="83"/>
        <v>-93.11548672234882</v>
      </c>
      <c r="BH84">
        <f t="shared" si="98"/>
        <v>86.88451327765118</v>
      </c>
      <c r="BI84">
        <f t="shared" si="99"/>
        <v>86.88451327765118</v>
      </c>
      <c r="BJ84">
        <f t="shared" si="84"/>
        <v>0</v>
      </c>
      <c r="BK84">
        <f t="shared" si="100"/>
        <v>0</v>
      </c>
      <c r="BM84">
        <f t="shared" si="101"/>
        <v>-12.85546300661607</v>
      </c>
      <c r="BN84">
        <f t="shared" si="85"/>
        <v>-120.59835369544219</v>
      </c>
      <c r="BQ84" s="66">
        <f t="shared" si="102"/>
        <v>34.557628214312928</v>
      </c>
      <c r="BR84" s="71"/>
      <c r="BS84" s="71"/>
      <c r="BT84" s="71">
        <v>549.54100000000005</v>
      </c>
      <c r="BU84" s="71">
        <v>19.992000000000001</v>
      </c>
      <c r="BV84" s="71">
        <v>-264.47620000000001</v>
      </c>
      <c r="BW84" s="75"/>
      <c r="BY84" s="71"/>
      <c r="BZ84" s="71"/>
      <c r="CA84" s="71"/>
      <c r="CC84" s="71"/>
    </row>
    <row r="85" spans="1:81" x14ac:dyDescent="0.2">
      <c r="A85">
        <f t="shared" si="54"/>
        <v>25500</v>
      </c>
      <c r="B85">
        <f t="shared" si="86"/>
        <v>25.5</v>
      </c>
      <c r="C85">
        <f t="shared" si="55"/>
        <v>1.8750997640897542</v>
      </c>
      <c r="D85">
        <f t="shared" si="56"/>
        <v>1.0082936268281963</v>
      </c>
      <c r="F85">
        <f t="shared" si="57"/>
        <v>7.8868303942498958E-3</v>
      </c>
      <c r="G85">
        <f t="shared" si="58"/>
        <v>3.6687019068766605E-2</v>
      </c>
      <c r="H85">
        <f t="shared" si="59"/>
        <v>-3.1049056309312335</v>
      </c>
      <c r="J85">
        <f t="shared" si="60"/>
        <v>15</v>
      </c>
      <c r="M85">
        <f t="shared" si="61"/>
        <v>0.13229408462548295</v>
      </c>
      <c r="N85">
        <f t="shared" si="62"/>
        <v>-1.5707963250000001</v>
      </c>
      <c r="O85">
        <f t="shared" si="63"/>
        <v>7.6219180240764759</v>
      </c>
      <c r="P85">
        <f t="shared" si="64"/>
        <v>1.4392164040027873</v>
      </c>
      <c r="Q85">
        <f t="shared" si="65"/>
        <v>10.516507114893637</v>
      </c>
      <c r="R85">
        <f t="shared" si="66"/>
        <v>1.4755638386969001</v>
      </c>
      <c r="S85">
        <f t="shared" si="67"/>
        <v>0.72437913469341764</v>
      </c>
      <c r="T85">
        <f t="shared" si="68"/>
        <v>-0.76066294466961015</v>
      </c>
      <c r="U85">
        <f t="shared" si="69"/>
        <v>0.99999584452240742</v>
      </c>
      <c r="V85">
        <f t="shared" si="70"/>
        <v>-2.8828737296569067E-3</v>
      </c>
      <c r="X85">
        <f t="shared" si="87"/>
        <v>4.6291697270813428</v>
      </c>
      <c r="Y85">
        <f t="shared" si="71"/>
        <v>-86.870365852323658</v>
      </c>
      <c r="Z85">
        <f t="shared" si="88"/>
        <v>93.129634147676342</v>
      </c>
      <c r="AC85">
        <v>1</v>
      </c>
      <c r="AD85">
        <f t="shared" si="72"/>
        <v>7.5560329780740005</v>
      </c>
      <c r="AE85">
        <f t="shared" si="73"/>
        <v>-1.2106368610208195E-6</v>
      </c>
      <c r="AF85">
        <f t="shared" si="74"/>
        <v>4.1993983111815003E-4</v>
      </c>
      <c r="AG85">
        <f t="shared" si="89"/>
        <v>17986.11792190592</v>
      </c>
      <c r="AH85">
        <f t="shared" si="90"/>
        <v>-2433.1453737605812</v>
      </c>
      <c r="AJ85">
        <f t="shared" si="75"/>
        <v>18000</v>
      </c>
      <c r="AK85">
        <f t="shared" si="76"/>
        <v>17130.853393038</v>
      </c>
      <c r="AL85">
        <v>1</v>
      </c>
      <c r="AM85">
        <f t="shared" si="77"/>
        <v>10.468854851301</v>
      </c>
      <c r="AN85">
        <f t="shared" si="91"/>
        <v>1784.3210666688483</v>
      </c>
      <c r="AO85">
        <f t="shared" si="92"/>
        <v>-1548.9448620367464</v>
      </c>
      <c r="AQ85">
        <f t="shared" si="78"/>
        <v>3.8431975403535743</v>
      </c>
      <c r="AR85">
        <f t="shared" si="79"/>
        <v>-196.0030745580323</v>
      </c>
      <c r="AT85">
        <f t="shared" si="52"/>
        <v>-407779.76994574838</v>
      </c>
      <c r="AU85">
        <f t="shared" si="53"/>
        <v>-3534685.4703726466</v>
      </c>
      <c r="AV85">
        <f t="shared" si="93"/>
        <v>-1.6856537924594581</v>
      </c>
      <c r="AW85">
        <f t="shared" si="94"/>
        <v>-255333.47545728218</v>
      </c>
      <c r="AX85">
        <f t="shared" si="95"/>
        <v>-384265.40585837897</v>
      </c>
      <c r="AY85">
        <f t="shared" si="103"/>
        <v>-2.1572777764983941</v>
      </c>
      <c r="BA85">
        <f t="shared" si="80"/>
        <v>7.7122258231073682</v>
      </c>
      <c r="BB85">
        <f t="shared" si="96"/>
        <v>17.743594754756341</v>
      </c>
      <c r="BC85">
        <f t="shared" si="97"/>
        <v>0.47162398403893602</v>
      </c>
      <c r="BD85">
        <f t="shared" si="81"/>
        <v>-152.97793616654644</v>
      </c>
      <c r="BF85">
        <f t="shared" si="82"/>
        <v>4.6639575485135154</v>
      </c>
      <c r="BG85">
        <f t="shared" si="83"/>
        <v>-93.104955415380857</v>
      </c>
      <c r="BH85">
        <f t="shared" si="98"/>
        <v>86.895044584619143</v>
      </c>
      <c r="BI85">
        <f t="shared" si="99"/>
        <v>86.895044584619143</v>
      </c>
      <c r="BJ85">
        <f t="shared" si="84"/>
        <v>0</v>
      </c>
      <c r="BK85">
        <f t="shared" si="100"/>
        <v>0</v>
      </c>
      <c r="BM85">
        <f t="shared" si="101"/>
        <v>-13.079637206242825</v>
      </c>
      <c r="BN85">
        <f t="shared" si="85"/>
        <v>-120.12701924883442</v>
      </c>
      <c r="BQ85" s="66">
        <f t="shared" si="102"/>
        <v>34.645555555041476</v>
      </c>
      <c r="BR85" s="71"/>
      <c r="BS85" s="71"/>
      <c r="BT85" s="71">
        <v>562.34100000000001</v>
      </c>
      <c r="BU85" s="71">
        <v>19.682300000000001</v>
      </c>
      <c r="BV85" s="71">
        <v>-264.60399999999998</v>
      </c>
      <c r="BW85" s="75"/>
      <c r="BY85" s="71"/>
      <c r="BZ85" s="71"/>
      <c r="CA85" s="71"/>
      <c r="CC85" s="71"/>
    </row>
    <row r="86" spans="1:81" x14ac:dyDescent="0.2">
      <c r="A86">
        <f t="shared" si="54"/>
        <v>26000</v>
      </c>
      <c r="B86">
        <f t="shared" si="86"/>
        <v>26</v>
      </c>
      <c r="C86">
        <f t="shared" si="55"/>
        <v>1.901481811003956</v>
      </c>
      <c r="D86">
        <f t="shared" si="56"/>
        <v>1.0170167904770018</v>
      </c>
      <c r="F86">
        <f t="shared" si="57"/>
        <v>7.5843055042268898E-3</v>
      </c>
      <c r="G86">
        <f t="shared" si="58"/>
        <v>3.5971218146423803E-2</v>
      </c>
      <c r="H86">
        <f t="shared" si="59"/>
        <v>-3.1056214318535762</v>
      </c>
      <c r="J86">
        <f t="shared" si="60"/>
        <v>15</v>
      </c>
      <c r="M86">
        <f t="shared" si="61"/>
        <v>0.12974996761345445</v>
      </c>
      <c r="N86">
        <f t="shared" si="62"/>
        <v>-1.5707963250000001</v>
      </c>
      <c r="O86">
        <f t="shared" si="63"/>
        <v>7.7688191552438814</v>
      </c>
      <c r="P86">
        <f t="shared" si="64"/>
        <v>1.4417185050019841</v>
      </c>
      <c r="Q86">
        <f t="shared" si="65"/>
        <v>10.720866422977956</v>
      </c>
      <c r="R86">
        <f t="shared" si="66"/>
        <v>1.4773844944480961</v>
      </c>
      <c r="S86">
        <f t="shared" si="67"/>
        <v>0.71765711873829374</v>
      </c>
      <c r="T86">
        <f t="shared" si="68"/>
        <v>-0.77036415808699277</v>
      </c>
      <c r="U86">
        <f t="shared" si="69"/>
        <v>0.99999567996592209</v>
      </c>
      <c r="V86">
        <f t="shared" si="70"/>
        <v>-2.9394003430658574E-3</v>
      </c>
      <c r="X86">
        <f t="shared" si="87"/>
        <v>4.4941305803476759</v>
      </c>
      <c r="Y86">
        <f t="shared" si="71"/>
        <v>-86.722979366589556</v>
      </c>
      <c r="Z86">
        <f t="shared" si="88"/>
        <v>93.277020633410444</v>
      </c>
      <c r="AC86">
        <v>1</v>
      </c>
      <c r="AD86">
        <f t="shared" si="72"/>
        <v>7.7041904874480016</v>
      </c>
      <c r="AE86">
        <f t="shared" si="73"/>
        <v>-1.2585782668974611E-6</v>
      </c>
      <c r="AF86">
        <f t="shared" si="74"/>
        <v>4.281739454538E-4</v>
      </c>
      <c r="AG86">
        <f t="shared" si="89"/>
        <v>17986.11200241711</v>
      </c>
      <c r="AH86">
        <f t="shared" si="90"/>
        <v>-2388.3679530952877</v>
      </c>
      <c r="AJ86">
        <f t="shared" si="75"/>
        <v>18000</v>
      </c>
      <c r="AK86">
        <f t="shared" si="76"/>
        <v>17466.752479175997</v>
      </c>
      <c r="AL86">
        <v>1</v>
      </c>
      <c r="AM86">
        <f t="shared" si="77"/>
        <v>10.674126515052</v>
      </c>
      <c r="AN86">
        <f t="shared" si="91"/>
        <v>1778.7341494115194</v>
      </c>
      <c r="AO86">
        <f t="shared" si="92"/>
        <v>-1519.6808682859664</v>
      </c>
      <c r="AQ86">
        <f t="shared" si="78"/>
        <v>3.6968576709796674</v>
      </c>
      <c r="AR86">
        <f t="shared" si="79"/>
        <v>-192.2365988909427</v>
      </c>
      <c r="AT86">
        <f t="shared" ref="AT86:AT149" si="104">-AR86*AH86+AG86*AQ86</f>
        <v>-392639.63607592555</v>
      </c>
      <c r="AU86">
        <f t="shared" ref="AU86:AU149" si="105">AQ86*AH86+AG86*AR86</f>
        <v>-3466418.4550047508</v>
      </c>
      <c r="AV86">
        <f t="shared" si="93"/>
        <v>-1.6835851498311678</v>
      </c>
      <c r="AW86">
        <f t="shared" si="94"/>
        <v>-244131.56254610169</v>
      </c>
      <c r="AX86">
        <f t="shared" si="95"/>
        <v>-375588.59322946874</v>
      </c>
      <c r="AY86">
        <f t="shared" si="103"/>
        <v>-2.1471696325393079</v>
      </c>
      <c r="BA86">
        <f t="shared" si="80"/>
        <v>7.7877369399975551</v>
      </c>
      <c r="BB86">
        <f t="shared" si="96"/>
        <v>17.828225463439122</v>
      </c>
      <c r="BC86">
        <f t="shared" si="97"/>
        <v>0.46358448270814012</v>
      </c>
      <c r="BD86">
        <f t="shared" si="81"/>
        <v>-153.43856566271722</v>
      </c>
      <c r="BF86">
        <f t="shared" si="82"/>
        <v>4.5302105242296848</v>
      </c>
      <c r="BG86">
        <f t="shared" si="83"/>
        <v>-93.106796821770672</v>
      </c>
      <c r="BH86">
        <f t="shared" si="98"/>
        <v>86.893203178229328</v>
      </c>
      <c r="BI86">
        <f t="shared" si="99"/>
        <v>86.893203178229328</v>
      </c>
      <c r="BJ86">
        <f t="shared" si="84"/>
        <v>0</v>
      </c>
      <c r="BK86">
        <f t="shared" si="100"/>
        <v>0</v>
      </c>
      <c r="BM86">
        <f t="shared" si="101"/>
        <v>-13.298014939209434</v>
      </c>
      <c r="BN86">
        <f t="shared" si="85"/>
        <v>-119.66823115905346</v>
      </c>
      <c r="BQ86" s="66">
        <f t="shared" si="102"/>
        <v>34.730186263724256</v>
      </c>
      <c r="BR86" s="71"/>
      <c r="BS86" s="71"/>
      <c r="BT86" s="71">
        <v>575.44000000000005</v>
      </c>
      <c r="BU86" s="71">
        <v>19.596</v>
      </c>
      <c r="BV86" s="71">
        <v>-264.9076</v>
      </c>
      <c r="BW86" s="75"/>
      <c r="BY86" s="71"/>
      <c r="BZ86" s="71"/>
      <c r="CA86" s="71"/>
      <c r="CC86" s="71"/>
    </row>
    <row r="87" spans="1:81" x14ac:dyDescent="0.2">
      <c r="A87">
        <f t="shared" si="54"/>
        <v>26500</v>
      </c>
      <c r="B87">
        <f t="shared" si="86"/>
        <v>26.5</v>
      </c>
      <c r="C87">
        <f t="shared" si="55"/>
        <v>1.9280045823904561</v>
      </c>
      <c r="D87">
        <f t="shared" si="56"/>
        <v>1.0255005830057147</v>
      </c>
      <c r="F87">
        <f t="shared" si="57"/>
        <v>7.298896260914527E-3</v>
      </c>
      <c r="G87">
        <f t="shared" si="58"/>
        <v>3.5282999122497272E-2</v>
      </c>
      <c r="H87">
        <f t="shared" si="59"/>
        <v>-3.106309650877503</v>
      </c>
      <c r="J87">
        <f t="shared" si="60"/>
        <v>15</v>
      </c>
      <c r="M87">
        <f t="shared" si="61"/>
        <v>0.12730185501697416</v>
      </c>
      <c r="N87">
        <f t="shared" si="62"/>
        <v>-1.5707963250000001</v>
      </c>
      <c r="O87">
        <f t="shared" si="63"/>
        <v>7.9157671177968902</v>
      </c>
      <c r="P87">
        <f t="shared" si="64"/>
        <v>1.4441277228288967</v>
      </c>
      <c r="Q87">
        <f t="shared" si="65"/>
        <v>10.92525993891871</v>
      </c>
      <c r="R87">
        <f t="shared" si="66"/>
        <v>1.4791370329223799</v>
      </c>
      <c r="S87">
        <f t="shared" si="67"/>
        <v>0.71099363595999143</v>
      </c>
      <c r="T87">
        <f t="shared" si="68"/>
        <v>-0.77988610137449721</v>
      </c>
      <c r="U87">
        <f t="shared" si="69"/>
        <v>0.99999551221424876</v>
      </c>
      <c r="V87">
        <f t="shared" si="70"/>
        <v>-2.9959269376904751E-3</v>
      </c>
      <c r="X87">
        <f t="shared" si="87"/>
        <v>4.3615959183146877</v>
      </c>
      <c r="Y87">
        <f t="shared" si="71"/>
        <v>-86.586680732744242</v>
      </c>
      <c r="Z87">
        <f t="shared" si="88"/>
        <v>93.413319267255758</v>
      </c>
      <c r="AC87">
        <v>1</v>
      </c>
      <c r="AD87">
        <f t="shared" si="72"/>
        <v>7.8523479968220009</v>
      </c>
      <c r="AE87">
        <f t="shared" si="73"/>
        <v>-1.3074505738590859E-6</v>
      </c>
      <c r="AF87">
        <f t="shared" si="74"/>
        <v>4.3640805978945003E-4</v>
      </c>
      <c r="AG87">
        <f t="shared" si="89"/>
        <v>17986.105967990778</v>
      </c>
      <c r="AH87">
        <f t="shared" si="90"/>
        <v>-2345.3186108962941</v>
      </c>
      <c r="AJ87">
        <f t="shared" si="75"/>
        <v>18000</v>
      </c>
      <c r="AK87">
        <f t="shared" si="76"/>
        <v>17802.651565313998</v>
      </c>
      <c r="AL87">
        <v>1</v>
      </c>
      <c r="AM87">
        <f t="shared" si="77"/>
        <v>10.879398178802999</v>
      </c>
      <c r="AN87">
        <f t="shared" si="91"/>
        <v>1773.456946463155</v>
      </c>
      <c r="AO87">
        <f t="shared" si="92"/>
        <v>-1491.4927082227782</v>
      </c>
      <c r="AQ87">
        <f t="shared" si="78"/>
        <v>3.5587188612099645</v>
      </c>
      <c r="AR87">
        <f t="shared" si="79"/>
        <v>-188.61209964412811</v>
      </c>
      <c r="AT87">
        <f t="shared" si="104"/>
        <v>-378347.97298759007</v>
      </c>
      <c r="AU87">
        <f t="shared" si="105"/>
        <v>-3400743.5406206674</v>
      </c>
      <c r="AV87">
        <f t="shared" si="93"/>
        <v>-1.681595171676916</v>
      </c>
      <c r="AW87">
        <f t="shared" si="94"/>
        <v>-233548.66616190178</v>
      </c>
      <c r="AX87">
        <f t="shared" si="95"/>
        <v>-367309.50717920426</v>
      </c>
      <c r="AY87">
        <f t="shared" si="103"/>
        <v>-2.1371500147540563</v>
      </c>
      <c r="BA87">
        <f t="shared" si="80"/>
        <v>7.8611291954012623</v>
      </c>
      <c r="BB87">
        <f t="shared" si="96"/>
        <v>17.90969867678967</v>
      </c>
      <c r="BC87">
        <f t="shared" si="97"/>
        <v>0.45555484307714034</v>
      </c>
      <c r="BD87">
        <f t="shared" si="81"/>
        <v>-153.89863012511017</v>
      </c>
      <c r="BF87">
        <f t="shared" si="82"/>
        <v>4.3988289149660638</v>
      </c>
      <c r="BG87">
        <f t="shared" si="83"/>
        <v>-93.120207822945034</v>
      </c>
      <c r="BH87">
        <f t="shared" si="98"/>
        <v>86.879792177054966</v>
      </c>
      <c r="BI87">
        <f t="shared" si="99"/>
        <v>86.879792177054966</v>
      </c>
      <c r="BJ87">
        <f t="shared" si="84"/>
        <v>0</v>
      </c>
      <c r="BK87">
        <f t="shared" si="100"/>
        <v>0</v>
      </c>
      <c r="BM87">
        <f t="shared" si="101"/>
        <v>-13.510869761823605</v>
      </c>
      <c r="BN87">
        <f t="shared" si="85"/>
        <v>-119.22157769783486</v>
      </c>
      <c r="BQ87" s="66">
        <f t="shared" si="102"/>
        <v>34.811659477074805</v>
      </c>
      <c r="BR87" s="71"/>
      <c r="BS87" s="71"/>
      <c r="BT87" s="71">
        <v>588.84400000000005</v>
      </c>
      <c r="BU87" s="71">
        <v>19.373200000000001</v>
      </c>
      <c r="BV87" s="71">
        <v>-263.88170000000002</v>
      </c>
      <c r="BW87" s="75"/>
      <c r="BY87" s="71"/>
      <c r="BZ87" s="71"/>
      <c r="CA87" s="71"/>
      <c r="CC87" s="71"/>
    </row>
    <row r="88" spans="1:81" x14ac:dyDescent="0.2">
      <c r="A88">
        <f t="shared" si="54"/>
        <v>27000</v>
      </c>
      <c r="B88">
        <f t="shared" si="86"/>
        <v>27</v>
      </c>
      <c r="C88">
        <f t="shared" si="55"/>
        <v>1.9546623497956341</v>
      </c>
      <c r="D88">
        <f t="shared" si="56"/>
        <v>1.0337535515025404</v>
      </c>
      <c r="F88">
        <f t="shared" si="57"/>
        <v>7.029332847974688E-3</v>
      </c>
      <c r="G88">
        <f t="shared" si="58"/>
        <v>3.4620788138212039E-2</v>
      </c>
      <c r="H88">
        <f t="shared" si="59"/>
        <v>-3.1069718618617883</v>
      </c>
      <c r="J88">
        <f t="shared" si="60"/>
        <v>15</v>
      </c>
      <c r="M88">
        <f t="shared" si="61"/>
        <v>0.12494441325740056</v>
      </c>
      <c r="N88">
        <f t="shared" si="62"/>
        <v>-1.5707963250000001</v>
      </c>
      <c r="O88">
        <f t="shared" si="63"/>
        <v>8.0627593511571796</v>
      </c>
      <c r="P88">
        <f t="shared" si="64"/>
        <v>1.4464491087827089</v>
      </c>
      <c r="Q88">
        <f t="shared" si="65"/>
        <v>11.129685778063372</v>
      </c>
      <c r="R88">
        <f t="shared" si="66"/>
        <v>1.4808251965026455</v>
      </c>
      <c r="S88">
        <f t="shared" si="67"/>
        <v>0.70439064609373525</v>
      </c>
      <c r="T88">
        <f t="shared" si="68"/>
        <v>-0.78923201866079817</v>
      </c>
      <c r="U88">
        <f t="shared" si="69"/>
        <v>0.9999953412673922</v>
      </c>
      <c r="V88">
        <f t="shared" si="70"/>
        <v>-3.0524535131695356E-3</v>
      </c>
      <c r="X88">
        <f t="shared" si="87"/>
        <v>4.2314422928649211</v>
      </c>
      <c r="Y88">
        <f t="shared" si="71"/>
        <v>-86.460752448161927</v>
      </c>
      <c r="Z88">
        <f t="shared" si="88"/>
        <v>93.539247551838073</v>
      </c>
      <c r="AC88">
        <v>1</v>
      </c>
      <c r="AD88">
        <f t="shared" si="72"/>
        <v>8.0005055061960011</v>
      </c>
      <c r="AE88">
        <f t="shared" si="73"/>
        <v>-1.3572537819056936E-6</v>
      </c>
      <c r="AF88">
        <f t="shared" si="74"/>
        <v>4.446421741251E-4</v>
      </c>
      <c r="AG88">
        <f t="shared" si="89"/>
        <v>17986.099818627157</v>
      </c>
      <c r="AH88">
        <f t="shared" si="90"/>
        <v>-2303.9013427285622</v>
      </c>
      <c r="AJ88">
        <f t="shared" si="75"/>
        <v>18000</v>
      </c>
      <c r="AK88">
        <f t="shared" si="76"/>
        <v>18138.550651451998</v>
      </c>
      <c r="AL88">
        <v>1</v>
      </c>
      <c r="AM88">
        <f t="shared" si="77"/>
        <v>11.084669842554</v>
      </c>
      <c r="AN88">
        <f t="shared" si="91"/>
        <v>1768.4670419095637</v>
      </c>
      <c r="AO88">
        <f t="shared" si="92"/>
        <v>-1464.3226355536231</v>
      </c>
      <c r="AQ88">
        <f t="shared" si="78"/>
        <v>3.4281796366129584</v>
      </c>
      <c r="AR88">
        <f t="shared" si="79"/>
        <v>-185.12170037709976</v>
      </c>
      <c r="AT88">
        <f t="shared" si="104"/>
        <v>-364842.55292668904</v>
      </c>
      <c r="AU88">
        <f t="shared" si="105"/>
        <v>-3337515.5692444122</v>
      </c>
      <c r="AV88">
        <f t="shared" si="93"/>
        <v>-1.6796795962522446</v>
      </c>
      <c r="AW88">
        <f t="shared" si="94"/>
        <v>-223540.16021533636</v>
      </c>
      <c r="AX88">
        <f t="shared" si="95"/>
        <v>-359401.06737140048</v>
      </c>
      <c r="AY88">
        <f t="shared" si="103"/>
        <v>-2.1272207764696516</v>
      </c>
      <c r="BA88">
        <f t="shared" si="80"/>
        <v>7.9324498202989586</v>
      </c>
      <c r="BB88">
        <f t="shared" si="96"/>
        <v>17.988146669754212</v>
      </c>
      <c r="BC88">
        <f t="shared" si="97"/>
        <v>0.44754118021740696</v>
      </c>
      <c r="BD88">
        <f t="shared" si="81"/>
        <v>-154.35777918593828</v>
      </c>
      <c r="BF88">
        <f t="shared" si="82"/>
        <v>4.2696889705184944</v>
      </c>
      <c r="BG88">
        <f t="shared" si="83"/>
        <v>-93.144438514500379</v>
      </c>
      <c r="BH88">
        <f t="shared" si="98"/>
        <v>86.855561485499621</v>
      </c>
      <c r="BI88">
        <f t="shared" si="99"/>
        <v>86.855561485499621</v>
      </c>
      <c r="BJ88">
        <f t="shared" si="84"/>
        <v>0</v>
      </c>
      <c r="BK88">
        <f t="shared" si="100"/>
        <v>0</v>
      </c>
      <c r="BM88">
        <f t="shared" si="101"/>
        <v>-13.718457699235715</v>
      </c>
      <c r="BN88">
        <f t="shared" si="85"/>
        <v>-118.78665932856208</v>
      </c>
      <c r="BQ88" s="66">
        <f t="shared" si="102"/>
        <v>34.890107470039347</v>
      </c>
      <c r="BR88" s="71"/>
      <c r="BS88" s="71"/>
      <c r="BT88" s="71">
        <v>602.55999999999995</v>
      </c>
      <c r="BU88" s="71">
        <v>19.198</v>
      </c>
      <c r="BV88" s="71">
        <v>-264.00260000000003</v>
      </c>
      <c r="BW88" s="75"/>
      <c r="BY88" s="71"/>
      <c r="BZ88" s="71"/>
      <c r="CA88" s="71"/>
      <c r="CC88" s="71"/>
    </row>
    <row r="89" spans="1:81" x14ac:dyDescent="0.2">
      <c r="A89">
        <f t="shared" si="54"/>
        <v>27500</v>
      </c>
      <c r="B89">
        <f t="shared" si="86"/>
        <v>27.5</v>
      </c>
      <c r="C89">
        <f t="shared" si="55"/>
        <v>1.9814496646518334</v>
      </c>
      <c r="D89">
        <f t="shared" si="56"/>
        <v>1.0417839101591955</v>
      </c>
      <c r="F89">
        <f t="shared" si="57"/>
        <v>6.7744612909649863E-3</v>
      </c>
      <c r="G89">
        <f t="shared" si="58"/>
        <v>3.3983129515705389E-2</v>
      </c>
      <c r="H89">
        <f t="shared" si="59"/>
        <v>-3.1076095204842948</v>
      </c>
      <c r="J89">
        <f t="shared" si="60"/>
        <v>15</v>
      </c>
      <c r="M89">
        <f t="shared" si="61"/>
        <v>0.12267269665272054</v>
      </c>
      <c r="N89">
        <f t="shared" si="62"/>
        <v>-1.5707963250000001</v>
      </c>
      <c r="O89">
        <f t="shared" si="63"/>
        <v>8.2097934773853094</v>
      </c>
      <c r="P89">
        <f t="shared" si="64"/>
        <v>1.4486873562478308</v>
      </c>
      <c r="Q89">
        <f t="shared" si="65"/>
        <v>11.334142191440357</v>
      </c>
      <c r="R89">
        <f t="shared" si="66"/>
        <v>1.4824524590692894</v>
      </c>
      <c r="S89">
        <f t="shared" si="67"/>
        <v>0.69784989223844984</v>
      </c>
      <c r="T89">
        <f t="shared" si="68"/>
        <v>-0.79840515828280434</v>
      </c>
      <c r="U89">
        <f t="shared" si="69"/>
        <v>0.99999516712535763</v>
      </c>
      <c r="V89">
        <f t="shared" si="70"/>
        <v>-3.108980069141815E-3</v>
      </c>
      <c r="X89">
        <f t="shared" si="87"/>
        <v>4.1035557420830306</v>
      </c>
      <c r="Y89">
        <f t="shared" si="71"/>
        <v>-86.344525444693289</v>
      </c>
      <c r="Z89">
        <f t="shared" si="88"/>
        <v>93.655474555306711</v>
      </c>
      <c r="AC89">
        <v>1</v>
      </c>
      <c r="AD89">
        <f t="shared" si="72"/>
        <v>8.1486630155700013</v>
      </c>
      <c r="AE89">
        <f t="shared" si="73"/>
        <v>-1.4079878910372852E-6</v>
      </c>
      <c r="AF89">
        <f t="shared" si="74"/>
        <v>4.5287628846075003E-4</v>
      </c>
      <c r="AG89">
        <f t="shared" si="89"/>
        <v>17986.093554326482</v>
      </c>
      <c r="AH89">
        <f t="shared" si="90"/>
        <v>-2264.0271262963652</v>
      </c>
      <c r="AJ89">
        <f t="shared" si="75"/>
        <v>18000</v>
      </c>
      <c r="AK89">
        <f t="shared" si="76"/>
        <v>18474.449737589999</v>
      </c>
      <c r="AL89">
        <v>1</v>
      </c>
      <c r="AM89">
        <f t="shared" si="77"/>
        <v>11.289941506305</v>
      </c>
      <c r="AN89">
        <f t="shared" si="91"/>
        <v>1763.7440064874145</v>
      </c>
      <c r="AO89">
        <f t="shared" si="92"/>
        <v>-1438.1169277489396</v>
      </c>
      <c r="AQ89">
        <f t="shared" si="78"/>
        <v>3.3046926635822866</v>
      </c>
      <c r="AR89">
        <f t="shared" si="79"/>
        <v>-181.75809649702578</v>
      </c>
      <c r="AT89">
        <f t="shared" si="104"/>
        <v>-352066.74947777129</v>
      </c>
      <c r="AU89">
        <f t="shared" si="105"/>
        <v>-3276600.0416862289</v>
      </c>
      <c r="AV89">
        <f t="shared" si="93"/>
        <v>-1.6778344623381258</v>
      </c>
      <c r="AW89">
        <f t="shared" si="94"/>
        <v>-214065.35514630013</v>
      </c>
      <c r="AX89">
        <f t="shared" si="95"/>
        <v>-351838.59633270738</v>
      </c>
      <c r="AY89">
        <f t="shared" si="103"/>
        <v>-2.1173834236701103</v>
      </c>
      <c r="BA89">
        <f t="shared" si="80"/>
        <v>8.0017460073193583</v>
      </c>
      <c r="BB89">
        <f t="shared" si="96"/>
        <v>18.06369523635987</v>
      </c>
      <c r="BC89">
        <f t="shared" si="97"/>
        <v>0.43954896133198451</v>
      </c>
      <c r="BD89">
        <f t="shared" si="81"/>
        <v>-154.815699597541</v>
      </c>
      <c r="BF89">
        <f t="shared" si="82"/>
        <v>4.1426766149531549</v>
      </c>
      <c r="BG89">
        <f t="shared" si="83"/>
        <v>-93.17878841445615</v>
      </c>
      <c r="BH89">
        <f t="shared" si="98"/>
        <v>86.82121158554385</v>
      </c>
      <c r="BI89">
        <f t="shared" si="99"/>
        <v>86.82121158554385</v>
      </c>
      <c r="BJ89">
        <f t="shared" si="84"/>
        <v>0</v>
      </c>
      <c r="BK89">
        <f t="shared" si="100"/>
        <v>0</v>
      </c>
      <c r="BM89">
        <f t="shared" si="101"/>
        <v>-13.921018621406716</v>
      </c>
      <c r="BN89">
        <f t="shared" si="85"/>
        <v>-118.36308881691515</v>
      </c>
      <c r="BQ89" s="66">
        <f t="shared" si="102"/>
        <v>34.965656036645008</v>
      </c>
      <c r="BR89" s="71"/>
      <c r="BS89" s="71"/>
      <c r="BT89" s="71">
        <v>616.59500000000003</v>
      </c>
      <c r="BU89" s="71">
        <v>18.983699999999999</v>
      </c>
      <c r="BV89" s="71">
        <v>-264.13310000000001</v>
      </c>
      <c r="BW89" s="75"/>
      <c r="BY89" s="71"/>
      <c r="BZ89" s="71"/>
      <c r="CA89" s="71"/>
      <c r="CC89" s="71"/>
    </row>
    <row r="90" spans="1:81" x14ac:dyDescent="0.2">
      <c r="A90">
        <f t="shared" si="54"/>
        <v>28000</v>
      </c>
      <c r="B90">
        <f t="shared" si="86"/>
        <v>28</v>
      </c>
      <c r="C90">
        <f t="shared" si="55"/>
        <v>2.0083613432944323</v>
      </c>
      <c r="D90">
        <f t="shared" si="56"/>
        <v>1.0495995509415679</v>
      </c>
      <c r="F90">
        <f t="shared" si="57"/>
        <v>6.5332309798867786E-3</v>
      </c>
      <c r="G90">
        <f t="shared" si="58"/>
        <v>3.3368674812961283E-2</v>
      </c>
      <c r="H90">
        <f t="shared" si="59"/>
        <v>-3.1082239751870389</v>
      </c>
      <c r="J90">
        <f t="shared" si="60"/>
        <v>15</v>
      </c>
      <c r="M90">
        <f t="shared" si="61"/>
        <v>0.12048211278392199</v>
      </c>
      <c r="N90">
        <f t="shared" si="62"/>
        <v>-1.5707963250000001</v>
      </c>
      <c r="O90">
        <f t="shared" si="63"/>
        <v>8.3568672852410462</v>
      </c>
      <c r="P90">
        <f t="shared" si="64"/>
        <v>1.4508468316854213</v>
      </c>
      <c r="Q90">
        <f t="shared" si="65"/>
        <v>11.538627553787709</v>
      </c>
      <c r="R90">
        <f t="shared" si="66"/>
        <v>1.4840220495950438</v>
      </c>
      <c r="S90">
        <f t="shared" si="67"/>
        <v>0.6913729136361888</v>
      </c>
      <c r="T90">
        <f t="shared" si="68"/>
        <v>-0.80740876593374766</v>
      </c>
      <c r="U90">
        <f t="shared" si="69"/>
        <v>0.99999498978814971</v>
      </c>
      <c r="V90">
        <f t="shared" si="70"/>
        <v>-3.1655066052460913E-3</v>
      </c>
      <c r="X90">
        <f t="shared" si="87"/>
        <v>3.9778309131683813</v>
      </c>
      <c r="Y90">
        <f t="shared" si="71"/>
        <v>-86.237375584234272</v>
      </c>
      <c r="Z90">
        <f t="shared" si="88"/>
        <v>93.762624415765728</v>
      </c>
      <c r="AC90">
        <v>1</v>
      </c>
      <c r="AD90">
        <f t="shared" si="72"/>
        <v>8.2968205249440015</v>
      </c>
      <c r="AE90">
        <f t="shared" si="73"/>
        <v>-1.4596529012538601E-6</v>
      </c>
      <c r="AF90">
        <f t="shared" si="74"/>
        <v>4.611104027964E-4</v>
      </c>
      <c r="AG90">
        <f t="shared" si="89"/>
        <v>17986.087175088993</v>
      </c>
      <c r="AH90">
        <f t="shared" si="90"/>
        <v>-2225.6132980379934</v>
      </c>
      <c r="AJ90">
        <f t="shared" si="75"/>
        <v>18000</v>
      </c>
      <c r="AK90">
        <f t="shared" si="76"/>
        <v>18810.348823728</v>
      </c>
      <c r="AL90">
        <v>1</v>
      </c>
      <c r="AM90">
        <f t="shared" si="77"/>
        <v>11.495213170055999</v>
      </c>
      <c r="AN90">
        <f t="shared" si="91"/>
        <v>1759.269190518303</v>
      </c>
      <c r="AO90">
        <f t="shared" si="92"/>
        <v>-1412.8255447917527</v>
      </c>
      <c r="AQ90">
        <f t="shared" si="78"/>
        <v>3.1877590054191902</v>
      </c>
      <c r="AR90">
        <f t="shared" si="79"/>
        <v>-178.51450430347467</v>
      </c>
      <c r="AT90">
        <f t="shared" si="104"/>
        <v>-339968.94330582925</v>
      </c>
      <c r="AU90">
        <f t="shared" si="105"/>
        <v>-3217872.155253496</v>
      </c>
      <c r="AV90">
        <f t="shared" si="93"/>
        <v>-1.6760560833700655</v>
      </c>
      <c r="AW90">
        <f t="shared" si="94"/>
        <v>-205087.08986730361</v>
      </c>
      <c r="AX90">
        <f t="shared" si="95"/>
        <v>-344599.56058694358</v>
      </c>
      <c r="AY90">
        <f t="shared" si="103"/>
        <v>-2.1076391503575964</v>
      </c>
      <c r="BA90">
        <f t="shared" si="80"/>
        <v>8.0690647849482815</v>
      </c>
      <c r="BB90">
        <f t="shared" si="96"/>
        <v>18.136464046925656</v>
      </c>
      <c r="BC90">
        <f t="shared" si="97"/>
        <v>0.43158306698753091</v>
      </c>
      <c r="BD90">
        <f t="shared" si="81"/>
        <v>-155.27211172404685</v>
      </c>
      <c r="BF90">
        <f t="shared" si="82"/>
        <v>4.017686554237371</v>
      </c>
      <c r="BG90">
        <f t="shared" si="83"/>
        <v>-93.222602970639471</v>
      </c>
      <c r="BH90">
        <f t="shared" si="98"/>
        <v>86.777397029360529</v>
      </c>
      <c r="BI90">
        <f t="shared" si="99"/>
        <v>86.777397029360529</v>
      </c>
      <c r="BJ90">
        <f t="shared" si="84"/>
        <v>0</v>
      </c>
      <c r="BK90">
        <f t="shared" si="100"/>
        <v>0</v>
      </c>
      <c r="BM90">
        <f t="shared" si="101"/>
        <v>-14.118777492688286</v>
      </c>
      <c r="BN90">
        <f t="shared" si="85"/>
        <v>-117.95049124659262</v>
      </c>
      <c r="BQ90" s="66">
        <f t="shared" si="102"/>
        <v>35.038424847210791</v>
      </c>
      <c r="BR90" s="71"/>
      <c r="BS90" s="71"/>
      <c r="BT90" s="71">
        <v>630.95699999999999</v>
      </c>
      <c r="BU90" s="71">
        <v>18.802900000000001</v>
      </c>
      <c r="BV90" s="71">
        <v>-263.74850000000004</v>
      </c>
      <c r="BW90" s="75"/>
      <c r="BY90" s="71"/>
      <c r="BZ90" s="71"/>
      <c r="CA90" s="71"/>
      <c r="CC90" s="71"/>
    </row>
    <row r="91" spans="1:81" x14ac:dyDescent="0.2">
      <c r="A91">
        <f t="shared" si="54"/>
        <v>28500</v>
      </c>
      <c r="B91">
        <f t="shared" si="86"/>
        <v>28.5</v>
      </c>
      <c r="C91">
        <f t="shared" si="55"/>
        <v>2.0353924527668492</v>
      </c>
      <c r="D91">
        <f t="shared" si="56"/>
        <v>1.0572080544220404</v>
      </c>
      <c r="F91">
        <f t="shared" si="57"/>
        <v>6.3046837347527007E-3</v>
      </c>
      <c r="G91">
        <f t="shared" si="58"/>
        <v>3.2776173078606342E-2</v>
      </c>
      <c r="H91">
        <f t="shared" si="59"/>
        <v>-3.108816476921394</v>
      </c>
      <c r="J91">
        <f t="shared" si="60"/>
        <v>15</v>
      </c>
      <c r="M91">
        <f t="shared" si="61"/>
        <v>0.11836839150701106</v>
      </c>
      <c r="N91">
        <f t="shared" si="62"/>
        <v>-1.5707963250000001</v>
      </c>
      <c r="O91">
        <f t="shared" si="63"/>
        <v>8.503978715878441</v>
      </c>
      <c r="P91">
        <f t="shared" si="64"/>
        <v>1.4529316024753733</v>
      </c>
      <c r="Q91">
        <f t="shared" si="65"/>
        <v>11.743140352825032</v>
      </c>
      <c r="R91">
        <f t="shared" si="66"/>
        <v>1.485536973300865</v>
      </c>
      <c r="S91">
        <f t="shared" si="67"/>
        <v>0.68496105804215257</v>
      </c>
      <c r="T91">
        <f t="shared" si="68"/>
        <v>-0.8162460784301262</v>
      </c>
      <c r="U91">
        <f t="shared" si="69"/>
        <v>0.99999480925577378</v>
      </c>
      <c r="V91">
        <f t="shared" si="70"/>
        <v>-3.2220331211211413E-3</v>
      </c>
      <c r="X91">
        <f t="shared" si="87"/>
        <v>3.8541702756563847</v>
      </c>
      <c r="Y91">
        <f t="shared" si="71"/>
        <v>-86.138720431939277</v>
      </c>
      <c r="Z91">
        <f t="shared" si="88"/>
        <v>93.861279568060723</v>
      </c>
      <c r="AC91">
        <v>1</v>
      </c>
      <c r="AD91">
        <f t="shared" si="72"/>
        <v>8.4449780343180016</v>
      </c>
      <c r="AE91">
        <f t="shared" si="73"/>
        <v>-1.5122488125554181E-6</v>
      </c>
      <c r="AF91">
        <f t="shared" si="74"/>
        <v>4.6934451713205003E-4</v>
      </c>
      <c r="AG91">
        <f t="shared" si="89"/>
        <v>17986.08068091494</v>
      </c>
      <c r="AH91">
        <f t="shared" si="90"/>
        <v>-2188.5829953420698</v>
      </c>
      <c r="AJ91">
        <f t="shared" si="75"/>
        <v>18000</v>
      </c>
      <c r="AK91">
        <f t="shared" si="76"/>
        <v>19146.247909866001</v>
      </c>
      <c r="AL91">
        <v>1</v>
      </c>
      <c r="AM91">
        <f t="shared" si="77"/>
        <v>11.700484833807</v>
      </c>
      <c r="AN91">
        <f t="shared" si="91"/>
        <v>1755.0255415289691</v>
      </c>
      <c r="AO91">
        <f t="shared" si="92"/>
        <v>-1388.4018217376199</v>
      </c>
      <c r="AQ91">
        <f t="shared" si="78"/>
        <v>3.0769230769230771</v>
      </c>
      <c r="AR91">
        <f t="shared" si="79"/>
        <v>-175.38461538461539</v>
      </c>
      <c r="AT91">
        <f t="shared" si="104"/>
        <v>-328502.00016487087</v>
      </c>
      <c r="AU91">
        <f t="shared" si="105"/>
        <v>-3161215.9440230574</v>
      </c>
      <c r="AV91">
        <f t="shared" si="93"/>
        <v>-1.6743410241781385</v>
      </c>
      <c r="AW91">
        <f t="shared" si="94"/>
        <v>-196571.37204981124</v>
      </c>
      <c r="AX91">
        <f t="shared" si="95"/>
        <v>-337663.34422468283</v>
      </c>
      <c r="AY91">
        <f t="shared" si="103"/>
        <v>-2.0979888704231948</v>
      </c>
      <c r="BA91">
        <f t="shared" si="80"/>
        <v>8.1344529058198098</v>
      </c>
      <c r="BB91">
        <f t="shared" si="96"/>
        <v>18.206566983261066</v>
      </c>
      <c r="BC91">
        <f t="shared" si="97"/>
        <v>0.42364784624505636</v>
      </c>
      <c r="BD91">
        <f t="shared" si="81"/>
        <v>-155.72676638261484</v>
      </c>
      <c r="BF91">
        <f t="shared" si="82"/>
        <v>3.8946214749401911</v>
      </c>
      <c r="BG91">
        <f t="shared" si="83"/>
        <v>-93.275270339639178</v>
      </c>
      <c r="BH91">
        <f t="shared" si="98"/>
        <v>86.724729660360822</v>
      </c>
      <c r="BI91">
        <f t="shared" si="99"/>
        <v>86.724729660360822</v>
      </c>
      <c r="BJ91">
        <f t="shared" si="84"/>
        <v>0</v>
      </c>
      <c r="BK91">
        <f t="shared" si="100"/>
        <v>0</v>
      </c>
      <c r="BM91">
        <f t="shared" si="101"/>
        <v>-14.311945508320873</v>
      </c>
      <c r="BN91">
        <f t="shared" si="85"/>
        <v>-117.54850395702437</v>
      </c>
      <c r="BQ91" s="66">
        <f t="shared" si="102"/>
        <v>35.108527783546201</v>
      </c>
      <c r="BR91" s="71"/>
      <c r="BS91" s="71"/>
      <c r="BT91" s="71">
        <v>645.654</v>
      </c>
      <c r="BU91" s="71">
        <v>18.598600000000001</v>
      </c>
      <c r="BV91" s="71">
        <v>-263.7636</v>
      </c>
      <c r="BW91" s="75"/>
      <c r="BY91" s="71"/>
      <c r="BZ91" s="71"/>
      <c r="CA91" s="71"/>
      <c r="CC91" s="71"/>
    </row>
    <row r="92" spans="1:81" x14ac:dyDescent="0.2">
      <c r="A92">
        <f t="shared" si="54"/>
        <v>29000</v>
      </c>
      <c r="B92">
        <f t="shared" si="86"/>
        <v>29</v>
      </c>
      <c r="C92">
        <f t="shared" si="55"/>
        <v>2.0625382973829516</v>
      </c>
      <c r="D92">
        <f t="shared" si="56"/>
        <v>1.0646167006742226</v>
      </c>
      <c r="F92">
        <f t="shared" si="57"/>
        <v>6.0879441995246473E-3</v>
      </c>
      <c r="G92">
        <f t="shared" si="58"/>
        <v>3.2204462155231851E-2</v>
      </c>
      <c r="H92">
        <f t="shared" si="59"/>
        <v>-3.1093881878447682</v>
      </c>
      <c r="J92">
        <f t="shared" si="60"/>
        <v>15</v>
      </c>
      <c r="M92">
        <f t="shared" si="61"/>
        <v>0.11632755717068327</v>
      </c>
      <c r="N92">
        <f t="shared" si="62"/>
        <v>-1.5707963250000001</v>
      </c>
      <c r="O92">
        <f t="shared" si="63"/>
        <v>8.6511258499840835</v>
      </c>
      <c r="P92">
        <f t="shared" si="64"/>
        <v>1.4549454619741207</v>
      </c>
      <c r="Q92">
        <f t="shared" si="65"/>
        <v>11.947679179620808</v>
      </c>
      <c r="R92">
        <f t="shared" si="66"/>
        <v>1.4870000306613023</v>
      </c>
      <c r="S92">
        <f t="shared" si="67"/>
        <v>0.67861549366027618</v>
      </c>
      <c r="T92">
        <f t="shared" si="68"/>
        <v>-0.82492031806226418</v>
      </c>
      <c r="U92">
        <f t="shared" si="69"/>
        <v>0.99999462552823504</v>
      </c>
      <c r="V92">
        <f t="shared" si="70"/>
        <v>-3.2785596164057449E-3</v>
      </c>
      <c r="X92">
        <f t="shared" si="87"/>
        <v>3.732483414741123</v>
      </c>
      <c r="Y92">
        <f t="shared" si="71"/>
        <v>-86.048016281958965</v>
      </c>
      <c r="Z92">
        <f t="shared" si="88"/>
        <v>93.951983718041035</v>
      </c>
      <c r="AC92">
        <v>1</v>
      </c>
      <c r="AD92">
        <f t="shared" si="72"/>
        <v>8.5931355436920001</v>
      </c>
      <c r="AE92">
        <f t="shared" si="73"/>
        <v>-1.5657756249419599E-6</v>
      </c>
      <c r="AF92">
        <f t="shared" si="74"/>
        <v>4.775786314677E-4</v>
      </c>
      <c r="AG92">
        <f t="shared" si="89"/>
        <v>17986.074071804564</v>
      </c>
      <c r="AH92">
        <f t="shared" si="90"/>
        <v>-2152.8646564656224</v>
      </c>
      <c r="AJ92">
        <f t="shared" si="75"/>
        <v>18000</v>
      </c>
      <c r="AK92">
        <f t="shared" si="76"/>
        <v>19482.146996004001</v>
      </c>
      <c r="AL92">
        <v>1</v>
      </c>
      <c r="AM92">
        <f t="shared" si="77"/>
        <v>11.905756497557999</v>
      </c>
      <c r="AN92">
        <f t="shared" si="91"/>
        <v>1750.9974432588374</v>
      </c>
      <c r="AO92">
        <f t="shared" si="92"/>
        <v>-1364.8021912823442</v>
      </c>
      <c r="AQ92">
        <f t="shared" si="78"/>
        <v>2.9717682020802378</v>
      </c>
      <c r="AR92">
        <f t="shared" si="79"/>
        <v>-172.3625557206538</v>
      </c>
      <c r="AT92">
        <f t="shared" si="104"/>
        <v>-317622.81130223343</v>
      </c>
      <c r="AU92">
        <f t="shared" si="105"/>
        <v>-3106523.5091266879</v>
      </c>
      <c r="AV92">
        <f t="shared" si="93"/>
        <v>-1.6726860800375485</v>
      </c>
      <c r="AW92">
        <f t="shared" si="94"/>
        <v>-188487.06033937162</v>
      </c>
      <c r="AX92">
        <f t="shared" si="95"/>
        <v>-331011.05031319492</v>
      </c>
      <c r="AY92">
        <f t="shared" si="103"/>
        <v>-2.0884332464036142</v>
      </c>
      <c r="BA92">
        <f t="shared" si="80"/>
        <v>8.1979567479447866</v>
      </c>
      <c r="BB92">
        <f t="shared" si="96"/>
        <v>18.274112453363106</v>
      </c>
      <c r="BC92">
        <f t="shared" si="97"/>
        <v>0.41574716636606568</v>
      </c>
      <c r="BD92">
        <f t="shared" si="81"/>
        <v>-156.17944199548219</v>
      </c>
      <c r="BF92">
        <f t="shared" si="82"/>
        <v>3.7733913237995766</v>
      </c>
      <c r="BG92">
        <f t="shared" si="83"/>
        <v>-93.336218412914334</v>
      </c>
      <c r="BH92">
        <f t="shared" si="98"/>
        <v>86.663781587085666</v>
      </c>
      <c r="BI92">
        <f t="shared" si="99"/>
        <v>86.663781587085666</v>
      </c>
      <c r="BJ92">
        <f t="shared" si="84"/>
        <v>0</v>
      </c>
      <c r="BK92">
        <f t="shared" si="100"/>
        <v>0</v>
      </c>
      <c r="BM92">
        <f t="shared" si="101"/>
        <v>-14.50072112956353</v>
      </c>
      <c r="BN92">
        <f t="shared" si="85"/>
        <v>-117.15677641743216</v>
      </c>
      <c r="BQ92" s="66">
        <f t="shared" si="102"/>
        <v>35.176073253648241</v>
      </c>
      <c r="BR92" s="73"/>
      <c r="BS92" s="73"/>
      <c r="BT92" s="73">
        <v>660.69299999999998</v>
      </c>
      <c r="BU92" s="73">
        <v>18.468</v>
      </c>
      <c r="BV92" s="73">
        <v>-263.60980000000001</v>
      </c>
      <c r="BW92" s="75"/>
      <c r="BY92" s="73"/>
      <c r="BZ92" s="73"/>
      <c r="CA92" s="73"/>
      <c r="CC92" s="73"/>
    </row>
    <row r="93" spans="1:81" x14ac:dyDescent="0.2">
      <c r="A93">
        <f t="shared" si="54"/>
        <v>29500</v>
      </c>
      <c r="B93">
        <f t="shared" si="86"/>
        <v>29.5</v>
      </c>
      <c r="C93">
        <f t="shared" si="55"/>
        <v>2.0897944060152804</v>
      </c>
      <c r="D93">
        <f t="shared" si="56"/>
        <v>1.0718324801474062</v>
      </c>
      <c r="F93">
        <f t="shared" si="57"/>
        <v>5.882211382843441E-3</v>
      </c>
      <c r="G93">
        <f t="shared" si="58"/>
        <v>3.1652460901414041E-2</v>
      </c>
      <c r="H93">
        <f t="shared" si="59"/>
        <v>-3.109940189098586</v>
      </c>
      <c r="J93">
        <f t="shared" si="60"/>
        <v>15</v>
      </c>
      <c r="M93">
        <f t="shared" si="61"/>
        <v>0.11435590365931578</v>
      </c>
      <c r="N93">
        <f t="shared" si="62"/>
        <v>-1.5707963250000001</v>
      </c>
      <c r="O93">
        <f t="shared" si="63"/>
        <v>8.7983068961920115</v>
      </c>
      <c r="P93">
        <f t="shared" si="64"/>
        <v>1.4568919521062145</v>
      </c>
      <c r="Q93">
        <f t="shared" si="65"/>
        <v>12.152242719927036</v>
      </c>
      <c r="R93">
        <f t="shared" si="66"/>
        <v>1.4884138345095361</v>
      </c>
      <c r="S93">
        <f t="shared" si="67"/>
        <v>0.67233722062600088</v>
      </c>
      <c r="T93">
        <f t="shared" si="68"/>
        <v>-0.8334346874936629</v>
      </c>
      <c r="U93">
        <f t="shared" si="69"/>
        <v>0.99999443860553838</v>
      </c>
      <c r="V93">
        <f t="shared" si="70"/>
        <v>-3.3350860907386802E-3</v>
      </c>
      <c r="X93">
        <f t="shared" si="87"/>
        <v>3.6126863957660649</v>
      </c>
      <c r="Y93">
        <f t="shared" si="71"/>
        <v>-85.964755413331346</v>
      </c>
      <c r="Z93">
        <f t="shared" si="88"/>
        <v>94.035244586668654</v>
      </c>
      <c r="AC93">
        <v>1</v>
      </c>
      <c r="AD93">
        <f t="shared" si="72"/>
        <v>8.741293053066002</v>
      </c>
      <c r="AE93">
        <f t="shared" si="73"/>
        <v>-1.6202333384134842E-6</v>
      </c>
      <c r="AF93">
        <f t="shared" si="74"/>
        <v>4.8581274580335008E-4</v>
      </c>
      <c r="AG93">
        <f t="shared" si="89"/>
        <v>17986.067347758129</v>
      </c>
      <c r="AH93">
        <f t="shared" si="90"/>
        <v>-2118.3915713079491</v>
      </c>
      <c r="AJ93">
        <f t="shared" si="75"/>
        <v>18000</v>
      </c>
      <c r="AK93">
        <f t="shared" si="76"/>
        <v>19818.046082141998</v>
      </c>
      <c r="AL93">
        <v>1</v>
      </c>
      <c r="AM93">
        <f t="shared" si="77"/>
        <v>12.111028161308999</v>
      </c>
      <c r="AN93">
        <f t="shared" si="91"/>
        <v>1747.1705732425905</v>
      </c>
      <c r="AO93">
        <f t="shared" si="92"/>
        <v>-1341.9859330094027</v>
      </c>
      <c r="AQ93">
        <f t="shared" si="78"/>
        <v>2.8719126938541066</v>
      </c>
      <c r="AR93">
        <f t="shared" si="79"/>
        <v>-169.44284893739231</v>
      </c>
      <c r="AT93">
        <f t="shared" si="104"/>
        <v>-307291.88787883654</v>
      </c>
      <c r="AU93">
        <f t="shared" si="105"/>
        <v>-3053694.3282281379</v>
      </c>
      <c r="AV93">
        <f t="shared" si="93"/>
        <v>-1.6710882577679125</v>
      </c>
      <c r="AW93">
        <f t="shared" si="94"/>
        <v>-180805.58302386018</v>
      </c>
      <c r="AX93">
        <f t="shared" si="95"/>
        <v>-324625.32627338689</v>
      </c>
      <c r="AY93">
        <f t="shared" si="103"/>
        <v>-2.078972715453566</v>
      </c>
      <c r="BA93">
        <f t="shared" si="80"/>
        <v>8.2596222278092686</v>
      </c>
      <c r="BB93">
        <f t="shared" si="96"/>
        <v>18.339203687013651</v>
      </c>
      <c r="BC93">
        <f t="shared" si="97"/>
        <v>0.40788445768565351</v>
      </c>
      <c r="BD93">
        <f t="shared" si="81"/>
        <v>-156.62994201892545</v>
      </c>
      <c r="BF93">
        <f t="shared" si="82"/>
        <v>3.6539126592203197</v>
      </c>
      <c r="BG93">
        <f t="shared" si="83"/>
        <v>-93.404912068340451</v>
      </c>
      <c r="BH93">
        <f t="shared" si="98"/>
        <v>86.595087931659549</v>
      </c>
      <c r="BI93">
        <f t="shared" si="99"/>
        <v>86.595087931659549</v>
      </c>
      <c r="BJ93">
        <f t="shared" si="84"/>
        <v>0</v>
      </c>
      <c r="BK93">
        <f t="shared" si="100"/>
        <v>0</v>
      </c>
      <c r="BM93">
        <f t="shared" si="101"/>
        <v>-14.685291027793333</v>
      </c>
      <c r="BN93">
        <f t="shared" si="85"/>
        <v>-116.774970049415</v>
      </c>
      <c r="BQ93" s="66">
        <f t="shared" si="102"/>
        <v>35.241164487298789</v>
      </c>
      <c r="BR93" s="73"/>
      <c r="BS93" s="73"/>
      <c r="BT93" s="73">
        <v>676.08299999999997</v>
      </c>
      <c r="BU93" s="73">
        <v>18.2744</v>
      </c>
      <c r="BV93" s="73">
        <v>-263.3252</v>
      </c>
      <c r="BW93" s="75"/>
      <c r="BY93" s="73"/>
      <c r="BZ93" s="73"/>
      <c r="CA93" s="73"/>
      <c r="CC93" s="73"/>
    </row>
    <row r="94" spans="1:81" x14ac:dyDescent="0.2">
      <c r="A94">
        <f t="shared" si="54"/>
        <v>30000</v>
      </c>
      <c r="B94">
        <f t="shared" si="86"/>
        <v>30</v>
      </c>
      <c r="C94">
        <f t="shared" si="55"/>
        <v>2.1171565200769713</v>
      </c>
      <c r="D94">
        <f t="shared" si="56"/>
        <v>1.0788621044524151</v>
      </c>
      <c r="F94">
        <f t="shared" si="57"/>
        <v>5.6867511914676346E-3</v>
      </c>
      <c r="G94">
        <f t="shared" si="58"/>
        <v>3.1119162220722921E-2</v>
      </c>
      <c r="H94">
        <f t="shared" si="59"/>
        <v>-3.1104734877792772</v>
      </c>
      <c r="J94">
        <f t="shared" si="60"/>
        <v>15</v>
      </c>
      <c r="M94">
        <f t="shared" si="61"/>
        <v>0.11244997193166051</v>
      </c>
      <c r="N94">
        <f t="shared" si="62"/>
        <v>-1.5707963250000001</v>
      </c>
      <c r="O94">
        <f t="shared" si="63"/>
        <v>8.9455201806303499</v>
      </c>
      <c r="P94">
        <f t="shared" si="64"/>
        <v>1.4587743837669893</v>
      </c>
      <c r="Q94">
        <f t="shared" si="65"/>
        <v>12.356829746369939</v>
      </c>
      <c r="R94">
        <f t="shared" si="66"/>
        <v>1.4897808254596292</v>
      </c>
      <c r="S94">
        <f t="shared" si="67"/>
        <v>0.66612708202368964</v>
      </c>
      <c r="T94">
        <f t="shared" si="68"/>
        <v>-0.84179236517498457</v>
      </c>
      <c r="U94">
        <f t="shared" si="69"/>
        <v>0.99999424848768992</v>
      </c>
      <c r="V94">
        <f t="shared" si="70"/>
        <v>-3.391612543758729E-3</v>
      </c>
      <c r="X94">
        <f t="shared" si="87"/>
        <v>3.4947011920465454</v>
      </c>
      <c r="Y94">
        <f t="shared" si="71"/>
        <v>-85.888463556030302</v>
      </c>
      <c r="Z94">
        <f t="shared" si="88"/>
        <v>94.111536443969698</v>
      </c>
      <c r="AC94">
        <v>1</v>
      </c>
      <c r="AD94">
        <f t="shared" si="72"/>
        <v>8.8894505624400004</v>
      </c>
      <c r="AE94">
        <f t="shared" si="73"/>
        <v>-1.6756219529699922E-6</v>
      </c>
      <c r="AF94">
        <f t="shared" si="74"/>
        <v>4.94046860139E-4</v>
      </c>
      <c r="AG94">
        <f t="shared" si="89"/>
        <v>17986.060508775885</v>
      </c>
      <c r="AH94">
        <f t="shared" si="90"/>
        <v>-2085.1014771070954</v>
      </c>
      <c r="AJ94">
        <f t="shared" si="75"/>
        <v>18000</v>
      </c>
      <c r="AK94">
        <f t="shared" si="76"/>
        <v>20153.945168279999</v>
      </c>
      <c r="AL94">
        <v>1</v>
      </c>
      <c r="AM94">
        <f t="shared" si="77"/>
        <v>12.31629982506</v>
      </c>
      <c r="AN94">
        <f t="shared" si="91"/>
        <v>1743.5317765638304</v>
      </c>
      <c r="AO94">
        <f t="shared" si="92"/>
        <v>-1319.9149463996566</v>
      </c>
      <c r="AQ94">
        <f t="shared" si="78"/>
        <v>2.7770063871146902</v>
      </c>
      <c r="AR94">
        <f t="shared" si="79"/>
        <v>-166.62038322688142</v>
      </c>
      <c r="AT94">
        <f t="shared" si="104"/>
        <v>-297473.0022706188</v>
      </c>
      <c r="AU94">
        <f t="shared" si="105"/>
        <v>-3002634.6348338244</v>
      </c>
      <c r="AV94">
        <f t="shared" si="93"/>
        <v>-1.6695447586526218</v>
      </c>
      <c r="AW94">
        <f t="shared" si="94"/>
        <v>-173500.68846805824</v>
      </c>
      <c r="AX94">
        <f t="shared" si="95"/>
        <v>-318490.20994815789</v>
      </c>
      <c r="AY94">
        <f t="shared" si="103"/>
        <v>-2.0696075128236693</v>
      </c>
      <c r="BA94">
        <f t="shared" si="80"/>
        <v>8.3194947243475905</v>
      </c>
      <c r="BB94">
        <f t="shared" si="96"/>
        <v>18.401939013575955</v>
      </c>
      <c r="BC94">
        <f t="shared" si="97"/>
        <v>0.40006275417104753</v>
      </c>
      <c r="BD94">
        <f t="shared" si="81"/>
        <v>-157.07809261942711</v>
      </c>
      <c r="BF94">
        <f t="shared" si="82"/>
        <v>3.5361080668571345</v>
      </c>
      <c r="BG94">
        <f t="shared" si="83"/>
        <v>-93.480850627800706</v>
      </c>
      <c r="BH94">
        <f t="shared" si="98"/>
        <v>86.519149372199294</v>
      </c>
      <c r="BI94">
        <f t="shared" si="99"/>
        <v>86.519149372199294</v>
      </c>
      <c r="BJ94">
        <f t="shared" si="84"/>
        <v>0</v>
      </c>
      <c r="BK94">
        <f t="shared" si="100"/>
        <v>0</v>
      </c>
      <c r="BM94">
        <f t="shared" si="101"/>
        <v>-14.86583094671882</v>
      </c>
      <c r="BN94">
        <f t="shared" si="85"/>
        <v>-116.4027580083736</v>
      </c>
      <c r="BQ94" s="66">
        <f t="shared" si="102"/>
        <v>35.303899813861094</v>
      </c>
      <c r="BR94" s="71"/>
      <c r="BS94" s="71"/>
      <c r="BT94" s="71">
        <v>691.83100000000002</v>
      </c>
      <c r="BU94" s="71">
        <v>18.092600000000001</v>
      </c>
      <c r="BV94" s="71">
        <v>-263.57819999999998</v>
      </c>
      <c r="BW94" s="75"/>
      <c r="BY94" s="71"/>
      <c r="BZ94" s="71"/>
      <c r="CA94" s="71"/>
      <c r="CC94" s="71"/>
    </row>
    <row r="95" spans="1:81" x14ac:dyDescent="0.2">
      <c r="A95">
        <f t="shared" si="54"/>
        <v>30500</v>
      </c>
      <c r="B95">
        <f t="shared" si="86"/>
        <v>30.5</v>
      </c>
      <c r="C95">
        <f t="shared" si="55"/>
        <v>2.1446205821651501</v>
      </c>
      <c r="D95">
        <f t="shared" si="56"/>
        <v>1.0857120170029306</v>
      </c>
      <c r="F95">
        <f t="shared" si="57"/>
        <v>5.5008898252786017E-3</v>
      </c>
      <c r="G95">
        <f t="shared" si="58"/>
        <v>3.0603626801323079E-2</v>
      </c>
      <c r="H95">
        <f t="shared" si="59"/>
        <v>-3.1109890231986772</v>
      </c>
      <c r="J95">
        <f t="shared" si="60"/>
        <v>15</v>
      </c>
      <c r="M95">
        <f t="shared" si="61"/>
        <v>0.1106065297688464</v>
      </c>
      <c r="N95">
        <f t="shared" si="62"/>
        <v>-1.5707963250000001</v>
      </c>
      <c r="O95">
        <f t="shared" si="63"/>
        <v>9.0927641374731358</v>
      </c>
      <c r="P95">
        <f t="shared" si="64"/>
        <v>1.460595855278725</v>
      </c>
      <c r="Q95">
        <f t="shared" si="65"/>
        <v>12.561439111399798</v>
      </c>
      <c r="R95">
        <f t="shared" si="66"/>
        <v>1.4911032858355915</v>
      </c>
      <c r="S95">
        <f t="shared" si="67"/>
        <v>0.65998577443124529</v>
      </c>
      <c r="T95">
        <f t="shared" si="68"/>
        <v>-0.84999650123937143</v>
      </c>
      <c r="U95">
        <f t="shared" si="69"/>
        <v>0.99999405517469431</v>
      </c>
      <c r="V95">
        <f t="shared" si="70"/>
        <v>-3.448138975104671E-3</v>
      </c>
      <c r="X95">
        <f t="shared" si="87"/>
        <v>3.3784551691339919</v>
      </c>
      <c r="Y95">
        <f t="shared" si="71"/>
        <v>-85.818697549239289</v>
      </c>
      <c r="Z95">
        <f t="shared" si="88"/>
        <v>94.181302450760711</v>
      </c>
      <c r="AC95">
        <v>1</v>
      </c>
      <c r="AD95">
        <f t="shared" si="72"/>
        <v>9.0376080718140006</v>
      </c>
      <c r="AE95">
        <f t="shared" si="73"/>
        <v>-1.7319414686114836E-6</v>
      </c>
      <c r="AF95">
        <f t="shared" si="74"/>
        <v>5.0228097447465008E-4</v>
      </c>
      <c r="AG95">
        <f t="shared" si="89"/>
        <v>17986.053554858092</v>
      </c>
      <c r="AH95">
        <f t="shared" si="90"/>
        <v>-2052.9361939038913</v>
      </c>
      <c r="AJ95">
        <f t="shared" si="75"/>
        <v>18000</v>
      </c>
      <c r="AK95">
        <f t="shared" si="76"/>
        <v>20489.844254418</v>
      </c>
      <c r="AL95">
        <v>1</v>
      </c>
      <c r="AM95">
        <f t="shared" si="77"/>
        <v>12.521571488811</v>
      </c>
      <c r="AN95">
        <f t="shared" si="91"/>
        <v>1740.0689537194819</v>
      </c>
      <c r="AO95">
        <f t="shared" si="92"/>
        <v>-1298.5535450410543</v>
      </c>
      <c r="AQ95">
        <f t="shared" si="78"/>
        <v>2.6867275658248255</v>
      </c>
      <c r="AR95">
        <f t="shared" si="79"/>
        <v>-163.89038151531435</v>
      </c>
      <c r="AT95">
        <f t="shared" si="104"/>
        <v>-288132.87015926727</v>
      </c>
      <c r="AU95">
        <f t="shared" si="105"/>
        <v>-2953256.8593236096</v>
      </c>
      <c r="AV95">
        <f t="shared" si="93"/>
        <v>-1.6680529629781675</v>
      </c>
      <c r="AW95">
        <f t="shared" si="94"/>
        <v>-166548.22329280936</v>
      </c>
      <c r="AX95">
        <f t="shared" si="95"/>
        <v>-312590.99358348793</v>
      </c>
      <c r="AY95">
        <f t="shared" si="103"/>
        <v>-2.0603376930994015</v>
      </c>
      <c r="BA95">
        <f t="shared" si="80"/>
        <v>8.3776190128629189</v>
      </c>
      <c r="BB95">
        <f t="shared" si="96"/>
        <v>18.462412123193054</v>
      </c>
      <c r="BC95">
        <f t="shared" si="97"/>
        <v>0.39228473012123399</v>
      </c>
      <c r="BD95">
        <f t="shared" si="81"/>
        <v>-157.5237405709419</v>
      </c>
      <c r="BF95">
        <f t="shared" si="82"/>
        <v>3.4199056323793631</v>
      </c>
      <c r="BG95">
        <f t="shared" si="83"/>
        <v>-93.563565503443684</v>
      </c>
      <c r="BH95">
        <f t="shared" si="98"/>
        <v>86.436434496556316</v>
      </c>
      <c r="BI95">
        <f t="shared" si="99"/>
        <v>86.436434496556316</v>
      </c>
      <c r="BJ95">
        <f t="shared" si="84"/>
        <v>0</v>
      </c>
      <c r="BK95">
        <f t="shared" si="100"/>
        <v>0</v>
      </c>
      <c r="BM95">
        <f t="shared" si="101"/>
        <v>-15.04250649081369</v>
      </c>
      <c r="BN95">
        <f t="shared" si="85"/>
        <v>-116.03982493250179</v>
      </c>
      <c r="BQ95" s="66">
        <f t="shared" si="102"/>
        <v>35.364372923478193</v>
      </c>
      <c r="BR95" s="71"/>
      <c r="BS95" s="71"/>
      <c r="BT95" s="71">
        <v>707.94600000000003</v>
      </c>
      <c r="BU95" s="71">
        <v>17.887</v>
      </c>
      <c r="BV95" s="71">
        <v>-262.84989999999999</v>
      </c>
      <c r="BW95" s="75"/>
      <c r="BY95" s="71"/>
      <c r="BZ95" s="71"/>
      <c r="CA95" s="71"/>
      <c r="CC95" s="71"/>
    </row>
    <row r="96" spans="1:81" x14ac:dyDescent="0.2">
      <c r="A96">
        <f t="shared" si="54"/>
        <v>31000</v>
      </c>
      <c r="B96">
        <f t="shared" si="86"/>
        <v>31</v>
      </c>
      <c r="C96">
        <f t="shared" si="55"/>
        <v>2.1721827253338106</v>
      </c>
      <c r="D96">
        <f t="shared" si="56"/>
        <v>1.0923884034670592</v>
      </c>
      <c r="F96">
        <f t="shared" si="57"/>
        <v>5.3240079219105865E-3</v>
      </c>
      <c r="G96">
        <f t="shared" si="58"/>
        <v>3.0104977482754019E-2</v>
      </c>
      <c r="H96">
        <f t="shared" si="59"/>
        <v>-3.1114876725172462</v>
      </c>
      <c r="J96">
        <f t="shared" si="60"/>
        <v>15</v>
      </c>
      <c r="M96">
        <f t="shared" si="61"/>
        <v>0.10882255348225212</v>
      </c>
      <c r="N96">
        <f t="shared" si="62"/>
        <v>-1.5707963250000001</v>
      </c>
      <c r="O96">
        <f t="shared" si="63"/>
        <v>9.2400373003867315</v>
      </c>
      <c r="P96">
        <f t="shared" si="64"/>
        <v>1.4623592691126477</v>
      </c>
      <c r="Q96">
        <f t="shared" si="65"/>
        <v>12.766069740915341</v>
      </c>
      <c r="R96">
        <f t="shared" si="66"/>
        <v>1.4923833522728926</v>
      </c>
      <c r="S96">
        <f t="shared" si="67"/>
        <v>0.6539138579889352</v>
      </c>
      <c r="T96">
        <f t="shared" si="68"/>
        <v>-0.85805021384682811</v>
      </c>
      <c r="U96">
        <f t="shared" si="69"/>
        <v>0.99999385866655766</v>
      </c>
      <c r="V96">
        <f t="shared" si="70"/>
        <v>-3.5046653844152892E-3</v>
      </c>
      <c r="X96">
        <f t="shared" si="87"/>
        <v>3.2638806194521508</v>
      </c>
      <c r="Y96">
        <f t="shared" si="71"/>
        <v>-85.7550431757154</v>
      </c>
      <c r="Z96">
        <f t="shared" si="88"/>
        <v>94.2449568242846</v>
      </c>
      <c r="AC96">
        <v>1</v>
      </c>
      <c r="AD96">
        <f t="shared" si="72"/>
        <v>9.1857655811880008</v>
      </c>
      <c r="AE96">
        <f t="shared" si="73"/>
        <v>-1.7891918853379588E-6</v>
      </c>
      <c r="AF96">
        <f t="shared" si="74"/>
        <v>5.1051508881030006E-4</v>
      </c>
      <c r="AG96">
        <f t="shared" si="89"/>
        <v>17986.04648600502</v>
      </c>
      <c r="AH96">
        <f t="shared" si="90"/>
        <v>-2021.8412952836634</v>
      </c>
      <c r="AJ96">
        <f t="shared" si="75"/>
        <v>18000</v>
      </c>
      <c r="AK96">
        <f t="shared" si="76"/>
        <v>20825.743340555997</v>
      </c>
      <c r="AL96">
        <v>1</v>
      </c>
      <c r="AM96">
        <f t="shared" si="77"/>
        <v>12.726843152562001</v>
      </c>
      <c r="AN96">
        <f t="shared" si="91"/>
        <v>1736.7709608246628</v>
      </c>
      <c r="AO96">
        <f t="shared" si="92"/>
        <v>-1277.8682697838888</v>
      </c>
      <c r="AQ96">
        <f t="shared" si="78"/>
        <v>2.6007802340702209</v>
      </c>
      <c r="AR96">
        <f t="shared" si="79"/>
        <v>-161.24837451235371</v>
      </c>
      <c r="AT96">
        <f t="shared" si="104"/>
        <v>-279240.86819657247</v>
      </c>
      <c r="AU96">
        <f t="shared" si="105"/>
        <v>-2905479.1246491414</v>
      </c>
      <c r="AV96">
        <f t="shared" si="93"/>
        <v>-1.6666104160179245</v>
      </c>
      <c r="AW96">
        <f t="shared" si="94"/>
        <v>-159925.93483914016</v>
      </c>
      <c r="AX96">
        <f t="shared" si="95"/>
        <v>-306914.10335805087</v>
      </c>
      <c r="AY96">
        <f t="shared" si="103"/>
        <v>-2.0511631494269809</v>
      </c>
      <c r="BA96">
        <f t="shared" si="80"/>
        <v>8.4340392080317912</v>
      </c>
      <c r="BB96">
        <f t="shared" si="96"/>
        <v>18.520712312500947</v>
      </c>
      <c r="BC96">
        <f t="shared" si="97"/>
        <v>0.38455273340905638</v>
      </c>
      <c r="BD96">
        <f t="shared" si="81"/>
        <v>-157.96675135026493</v>
      </c>
      <c r="BF96">
        <f t="shared" si="82"/>
        <v>3.3052384653291274</v>
      </c>
      <c r="BG96">
        <f t="shared" si="83"/>
        <v>-93.652618016980497</v>
      </c>
      <c r="BH96">
        <f t="shared" si="98"/>
        <v>86.347381983019503</v>
      </c>
      <c r="BI96">
        <f t="shared" si="99"/>
        <v>86.347381983019503</v>
      </c>
      <c r="BJ96">
        <f t="shared" si="84"/>
        <v>0</v>
      </c>
      <c r="BK96">
        <f t="shared" si="100"/>
        <v>0</v>
      </c>
      <c r="BM96">
        <f t="shared" si="101"/>
        <v>-15.215473847171822</v>
      </c>
      <c r="BN96">
        <f t="shared" si="85"/>
        <v>-115.68586666671558</v>
      </c>
      <c r="BQ96" s="66">
        <f t="shared" si="102"/>
        <v>35.422673112786086</v>
      </c>
      <c r="BR96" s="71"/>
      <c r="BS96" s="71"/>
      <c r="BT96" s="71">
        <v>724.43600000000004</v>
      </c>
      <c r="BU96" s="71">
        <v>17.753599999999999</v>
      </c>
      <c r="BV96" s="71">
        <v>-262.81690000000003</v>
      </c>
      <c r="BW96" s="75"/>
      <c r="BY96" s="71"/>
      <c r="BZ96" s="71"/>
      <c r="CA96" s="71"/>
      <c r="CC96" s="71"/>
    </row>
    <row r="97" spans="1:81" x14ac:dyDescent="0.2">
      <c r="A97">
        <f t="shared" si="54"/>
        <v>31500</v>
      </c>
      <c r="B97">
        <f t="shared" si="86"/>
        <v>31.5</v>
      </c>
      <c r="C97">
        <f t="shared" si="55"/>
        <v>2.1998392629647139</v>
      </c>
      <c r="D97">
        <f t="shared" si="56"/>
        <v>1.0988972019930952</v>
      </c>
      <c r="F97">
        <f t="shared" si="57"/>
        <v>5.1555353551878706E-3</v>
      </c>
      <c r="G97">
        <f t="shared" si="58"/>
        <v>2.9622394177520956E-2</v>
      </c>
      <c r="H97">
        <f t="shared" si="59"/>
        <v>-3.1119702558224791</v>
      </c>
      <c r="J97">
        <f t="shared" si="60"/>
        <v>15</v>
      </c>
      <c r="M97">
        <f t="shared" si="61"/>
        <v>0.1070952113634862</v>
      </c>
      <c r="N97">
        <f t="shared" si="62"/>
        <v>-1.5707963250000001</v>
      </c>
      <c r="O97">
        <f t="shared" si="63"/>
        <v>9.3873382947737909</v>
      </c>
      <c r="P97">
        <f t="shared" si="64"/>
        <v>1.4640673470631549</v>
      </c>
      <c r="Q97">
        <f t="shared" si="65"/>
        <v>12.970720628488696</v>
      </c>
      <c r="R97">
        <f t="shared" si="66"/>
        <v>1.4936230271374207</v>
      </c>
      <c r="S97">
        <f t="shared" si="67"/>
        <v>0.64791176599323252</v>
      </c>
      <c r="T97">
        <f t="shared" si="68"/>
        <v>-0.86595658594654645</v>
      </c>
      <c r="U97">
        <f t="shared" si="69"/>
        <v>0.9999936589632854</v>
      </c>
      <c r="V97">
        <f t="shared" si="70"/>
        <v>-3.5611917713293654E-3</v>
      </c>
      <c r="X97">
        <f t="shared" si="87"/>
        <v>3.1509143419473022</v>
      </c>
      <c r="Y97">
        <f t="shared" si="71"/>
        <v>-85.697113157685507</v>
      </c>
      <c r="Z97">
        <f t="shared" si="88"/>
        <v>94.302886842314493</v>
      </c>
      <c r="AC97">
        <v>1</v>
      </c>
      <c r="AD97">
        <f t="shared" si="72"/>
        <v>9.333923090562001</v>
      </c>
      <c r="AE97">
        <f t="shared" si="73"/>
        <v>-1.8473732031494168E-6</v>
      </c>
      <c r="AF97">
        <f t="shared" si="74"/>
        <v>5.1874920314595003E-4</v>
      </c>
      <c r="AG97">
        <f t="shared" si="89"/>
        <v>17986.039302216945</v>
      </c>
      <c r="AH97">
        <f t="shared" si="90"/>
        <v>-1991.7658104758757</v>
      </c>
      <c r="AJ97">
        <f t="shared" si="75"/>
        <v>18000</v>
      </c>
      <c r="AK97">
        <f t="shared" si="76"/>
        <v>21161.642426693998</v>
      </c>
      <c r="AL97">
        <v>1</v>
      </c>
      <c r="AM97">
        <f t="shared" si="77"/>
        <v>12.932114816313</v>
      </c>
      <c r="AN97">
        <f t="shared" si="91"/>
        <v>1733.62752063319</v>
      </c>
      <c r="AO97">
        <f t="shared" si="92"/>
        <v>-1257.8277188544498</v>
      </c>
      <c r="AQ97">
        <f t="shared" si="78"/>
        <v>2.5188916876574305</v>
      </c>
      <c r="AR97">
        <f t="shared" si="79"/>
        <v>-158.69017632241813</v>
      </c>
      <c r="AT97">
        <f t="shared" si="104"/>
        <v>-270768.78276514664</v>
      </c>
      <c r="AU97">
        <f t="shared" si="105"/>
        <v>-2859224.7905545169</v>
      </c>
      <c r="AV97">
        <f t="shared" si="93"/>
        <v>-1.6652148153061774</v>
      </c>
      <c r="AW97">
        <f t="shared" si="94"/>
        <v>-153613.29493417501</v>
      </c>
      <c r="AX97">
        <f t="shared" si="95"/>
        <v>-301446.99244394817</v>
      </c>
      <c r="AY97">
        <f t="shared" si="103"/>
        <v>-2.0420836309264199</v>
      </c>
      <c r="BA97">
        <f t="shared" si="80"/>
        <v>8.4887987151893842</v>
      </c>
      <c r="BB97">
        <f t="shared" si="96"/>
        <v>18.576924715886207</v>
      </c>
      <c r="BC97">
        <f t="shared" si="97"/>
        <v>0.37686881562024244</v>
      </c>
      <c r="BD97">
        <f t="shared" si="81"/>
        <v>-158.40700741019253</v>
      </c>
      <c r="BF97">
        <f t="shared" si="82"/>
        <v>3.1920442686936727</v>
      </c>
      <c r="BG97">
        <f t="shared" si="83"/>
        <v>-93.747597377924038</v>
      </c>
      <c r="BH97">
        <f t="shared" si="98"/>
        <v>86.252402622075962</v>
      </c>
      <c r="BI97">
        <f t="shared" si="99"/>
        <v>86.252402622075962</v>
      </c>
      <c r="BJ97">
        <f t="shared" si="84"/>
        <v>0</v>
      </c>
      <c r="BK97">
        <f t="shared" si="100"/>
        <v>0</v>
      </c>
      <c r="BM97">
        <f t="shared" si="101"/>
        <v>-15.384880447192533</v>
      </c>
      <c r="BN97">
        <f t="shared" si="85"/>
        <v>-115.34058996773153</v>
      </c>
      <c r="BQ97" s="66">
        <f t="shared" si="102"/>
        <v>35.478885516171339</v>
      </c>
      <c r="BR97" s="71"/>
      <c r="BS97" s="71"/>
      <c r="BT97" s="71">
        <v>741.31</v>
      </c>
      <c r="BU97" s="71">
        <v>17.416399999999999</v>
      </c>
      <c r="BV97" s="71">
        <v>-262.19720000000001</v>
      </c>
      <c r="BW97" s="75"/>
      <c r="BY97" s="71"/>
      <c r="BZ97" s="71"/>
      <c r="CA97" s="71"/>
      <c r="CC97" s="71"/>
    </row>
    <row r="98" spans="1:81" x14ac:dyDescent="0.2">
      <c r="A98">
        <f t="shared" si="54"/>
        <v>32000</v>
      </c>
      <c r="B98">
        <f t="shared" si="86"/>
        <v>32</v>
      </c>
      <c r="C98">
        <f t="shared" si="55"/>
        <v>2.2275866792055323</v>
      </c>
      <c r="D98">
        <f t="shared" si="56"/>
        <v>1.1052441131812663</v>
      </c>
      <c r="F98">
        <f t="shared" si="57"/>
        <v>4.9949466051315561E-3</v>
      </c>
      <c r="G98">
        <f t="shared" si="58"/>
        <v>2.9155109284547034E-2</v>
      </c>
      <c r="H98">
        <f t="shared" si="59"/>
        <v>-3.1124375407154532</v>
      </c>
      <c r="J98">
        <f t="shared" si="60"/>
        <v>15</v>
      </c>
      <c r="M98">
        <f t="shared" si="61"/>
        <v>0.10542184868593171</v>
      </c>
      <c r="N98">
        <f t="shared" si="62"/>
        <v>-1.5707963250000001</v>
      </c>
      <c r="O98">
        <f t="shared" si="63"/>
        <v>9.5346658307296046</v>
      </c>
      <c r="P98">
        <f t="shared" si="64"/>
        <v>1.4657226440382021</v>
      </c>
      <c r="Q98">
        <f t="shared" si="65"/>
        <v>13.175390830126004</v>
      </c>
      <c r="R98">
        <f t="shared" si="66"/>
        <v>1.4948241888891078</v>
      </c>
      <c r="S98">
        <f t="shared" si="67"/>
        <v>0.64197981401973558</v>
      </c>
      <c r="T98">
        <f t="shared" si="68"/>
        <v>-0.87371866242729301</v>
      </c>
      <c r="U98">
        <f t="shared" si="69"/>
        <v>0.99999345606488321</v>
      </c>
      <c r="V98">
        <f t="shared" si="70"/>
        <v>-3.6177181354856845E-3</v>
      </c>
      <c r="X98">
        <f t="shared" si="87"/>
        <v>3.0394972620146188</v>
      </c>
      <c r="Y98">
        <f t="shared" si="71"/>
        <v>-85.64454530110325</v>
      </c>
      <c r="Z98">
        <f t="shared" si="88"/>
        <v>94.35545469889675</v>
      </c>
      <c r="AC98">
        <v>1</v>
      </c>
      <c r="AD98">
        <f t="shared" si="72"/>
        <v>9.4820805999360012</v>
      </c>
      <c r="AE98">
        <f t="shared" si="73"/>
        <v>-1.9064854220458579E-6</v>
      </c>
      <c r="AF98">
        <f t="shared" si="74"/>
        <v>5.269833174816E-4</v>
      </c>
      <c r="AG98">
        <f t="shared" si="89"/>
        <v>17986.032003494136</v>
      </c>
      <c r="AH98">
        <f t="shared" si="90"/>
        <v>-1962.6619543819334</v>
      </c>
      <c r="AJ98">
        <f t="shared" si="75"/>
        <v>18000</v>
      </c>
      <c r="AK98">
        <f t="shared" si="76"/>
        <v>21497.541512831998</v>
      </c>
      <c r="AL98">
        <v>1</v>
      </c>
      <c r="AM98">
        <f t="shared" si="77"/>
        <v>13.137386480064</v>
      </c>
      <c r="AN98">
        <f t="shared" si="91"/>
        <v>1730.6291430572041</v>
      </c>
      <c r="AO98">
        <f t="shared" si="92"/>
        <v>-1238.4023931724612</v>
      </c>
      <c r="AQ98">
        <f t="shared" si="78"/>
        <v>2.4408103490358801</v>
      </c>
      <c r="AR98">
        <f t="shared" si="79"/>
        <v>-156.21186233829633</v>
      </c>
      <c r="AT98">
        <f t="shared" si="104"/>
        <v>-262690.58598230314</v>
      </c>
      <c r="AU98">
        <f t="shared" si="105"/>
        <v>-2814422.0409519328</v>
      </c>
      <c r="AV98">
        <f t="shared" si="93"/>
        <v>-1.6638639990665998</v>
      </c>
      <c r="AW98">
        <f t="shared" si="94"/>
        <v>-147591.34238052802</v>
      </c>
      <c r="AX98">
        <f t="shared" si="95"/>
        <v>-296178.04587226041</v>
      </c>
      <c r="AY98">
        <f t="shared" si="103"/>
        <v>-2.033098758469678</v>
      </c>
      <c r="BA98">
        <f t="shared" si="80"/>
        <v>8.541940189149269</v>
      </c>
      <c r="BB98">
        <f t="shared" si="96"/>
        <v>18.631130523241133</v>
      </c>
      <c r="BC98">
        <f t="shared" si="97"/>
        <v>0.36923475940307826</v>
      </c>
      <c r="BD98">
        <f t="shared" si="81"/>
        <v>-158.84440661250144</v>
      </c>
      <c r="BF98">
        <f t="shared" si="82"/>
        <v>3.0802649494300378</v>
      </c>
      <c r="BG98">
        <f t="shared" si="83"/>
        <v>-93.84811880801908</v>
      </c>
      <c r="BH98">
        <f t="shared" si="98"/>
        <v>86.15188119198092</v>
      </c>
      <c r="BI98">
        <f t="shared" si="99"/>
        <v>86.15188119198092</v>
      </c>
      <c r="BJ98">
        <f t="shared" si="84"/>
        <v>0</v>
      </c>
      <c r="BK98">
        <f t="shared" si="100"/>
        <v>0</v>
      </c>
      <c r="BM98">
        <f t="shared" si="101"/>
        <v>-15.550865573811095</v>
      </c>
      <c r="BN98">
        <f t="shared" si="85"/>
        <v>-115.00371219551765</v>
      </c>
      <c r="BQ98" s="66">
        <f t="shared" si="102"/>
        <v>35.533091323526264</v>
      </c>
      <c r="BR98" s="71"/>
      <c r="BS98" s="71"/>
      <c r="BT98" s="71">
        <v>758.57799999999997</v>
      </c>
      <c r="BU98" s="71">
        <v>17.283200000000001</v>
      </c>
      <c r="BV98" s="71">
        <v>-262.56690000000003</v>
      </c>
      <c r="BW98" s="75"/>
      <c r="BY98" s="71"/>
      <c r="BZ98" s="71"/>
      <c r="CA98" s="71"/>
      <c r="CC98" s="71"/>
    </row>
    <row r="99" spans="1:81" x14ac:dyDescent="0.2">
      <c r="A99">
        <f t="shared" si="54"/>
        <v>32500</v>
      </c>
      <c r="B99">
        <f t="shared" si="86"/>
        <v>32.5</v>
      </c>
      <c r="C99">
        <f t="shared" si="55"/>
        <v>2.2554216199453725</v>
      </c>
      <c r="D99">
        <f t="shared" si="56"/>
        <v>1.1114346097799603</v>
      </c>
      <c r="F99">
        <f t="shared" si="57"/>
        <v>4.8417566287706207E-3</v>
      </c>
      <c r="G99">
        <f t="shared" si="58"/>
        <v>2.8702403539596844E-2</v>
      </c>
      <c r="H99">
        <f t="shared" si="59"/>
        <v>-3.1128902464604034</v>
      </c>
      <c r="J99">
        <f t="shared" si="60"/>
        <v>15</v>
      </c>
      <c r="M99">
        <f t="shared" si="61"/>
        <v>0.10379997409076355</v>
      </c>
      <c r="N99">
        <f t="shared" si="62"/>
        <v>-1.5707963250000001</v>
      </c>
      <c r="O99">
        <f t="shared" si="63"/>
        <v>9.6820186966358754</v>
      </c>
      <c r="P99">
        <f t="shared" si="64"/>
        <v>1.4673275606103116</v>
      </c>
      <c r="Q99">
        <f t="shared" si="65"/>
        <v>13.380079459506687</v>
      </c>
      <c r="R99">
        <f t="shared" si="66"/>
        <v>1.4959886015020656</v>
      </c>
      <c r="S99">
        <f t="shared" si="67"/>
        <v>0.63611820858197188</v>
      </c>
      <c r="T99">
        <f t="shared" si="68"/>
        <v>-0.88133944762729222</v>
      </c>
      <c r="U99">
        <f t="shared" si="69"/>
        <v>0.99999324997135719</v>
      </c>
      <c r="V99">
        <f t="shared" si="70"/>
        <v>-3.6742444765230299E-3</v>
      </c>
      <c r="X99">
        <f t="shared" si="87"/>
        <v>2.9295740875040615</v>
      </c>
      <c r="Y99">
        <f t="shared" si="71"/>
        <v>-85.597000776322361</v>
      </c>
      <c r="Z99">
        <f t="shared" si="88"/>
        <v>94.402999223677639</v>
      </c>
      <c r="AC99">
        <v>1</v>
      </c>
      <c r="AD99">
        <f t="shared" si="72"/>
        <v>9.6302381093100013</v>
      </c>
      <c r="AE99">
        <f t="shared" si="73"/>
        <v>-1.9665285420272826E-6</v>
      </c>
      <c r="AF99">
        <f t="shared" si="74"/>
        <v>5.3521743181724998E-4</v>
      </c>
      <c r="AG99">
        <f t="shared" si="89"/>
        <v>17986.024589836874</v>
      </c>
      <c r="AH99">
        <f t="shared" si="90"/>
        <v>-1934.4848825234935</v>
      </c>
      <c r="AJ99">
        <f t="shared" si="75"/>
        <v>18000</v>
      </c>
      <c r="AK99">
        <f t="shared" si="76"/>
        <v>21833.440598969999</v>
      </c>
      <c r="AL99">
        <v>1</v>
      </c>
      <c r="AM99">
        <f t="shared" si="77"/>
        <v>13.342658143814999</v>
      </c>
      <c r="AN99">
        <f t="shared" si="91"/>
        <v>1727.7670540466186</v>
      </c>
      <c r="AO99">
        <f t="shared" si="92"/>
        <v>-1219.5645553203647</v>
      </c>
      <c r="AQ99">
        <f t="shared" si="78"/>
        <v>2.3663038334122102</v>
      </c>
      <c r="AR99">
        <f t="shared" si="79"/>
        <v>-153.80974917179367</v>
      </c>
      <c r="AT99">
        <f t="shared" si="104"/>
        <v>-254982.23562278799</v>
      </c>
      <c r="AU99">
        <f t="shared" si="105"/>
        <v>-2771003.5097537162</v>
      </c>
      <c r="AV99">
        <f t="shared" si="93"/>
        <v>-1.6625559356754094</v>
      </c>
      <c r="AW99">
        <f t="shared" si="94"/>
        <v>-141842.54193574711</v>
      </c>
      <c r="AX99">
        <f t="shared" si="95"/>
        <v>-291096.49572220177</v>
      </c>
      <c r="AY99">
        <f t="shared" si="103"/>
        <v>-2.0242080389824055</v>
      </c>
      <c r="BA99">
        <f t="shared" si="80"/>
        <v>8.5935054998647882</v>
      </c>
      <c r="BB99">
        <f t="shared" si="96"/>
        <v>18.68340718509852</v>
      </c>
      <c r="BC99">
        <f t="shared" si="97"/>
        <v>0.36165210330699615</v>
      </c>
      <c r="BD99">
        <f t="shared" si="81"/>
        <v>-159.27886080480252</v>
      </c>
      <c r="BF99">
        <f t="shared" si="82"/>
        <v>2.9698462657193172</v>
      </c>
      <c r="BG99">
        <f t="shared" si="83"/>
        <v>-93.953821800296225</v>
      </c>
      <c r="BH99">
        <f t="shared" si="98"/>
        <v>86.046178199703775</v>
      </c>
      <c r="BI99">
        <f t="shared" si="99"/>
        <v>86.046178199703775</v>
      </c>
      <c r="BJ99">
        <f t="shared" si="84"/>
        <v>0</v>
      </c>
      <c r="BK99">
        <f t="shared" si="100"/>
        <v>0</v>
      </c>
      <c r="BM99">
        <f t="shared" si="101"/>
        <v>-15.713560919379201</v>
      </c>
      <c r="BN99">
        <f t="shared" si="85"/>
        <v>-114.67496099549371</v>
      </c>
      <c r="BQ99" s="66">
        <f t="shared" si="102"/>
        <v>35.585367985383655</v>
      </c>
      <c r="BR99" s="71"/>
      <c r="BS99" s="71"/>
      <c r="BT99" s="71">
        <v>776.24699999999996</v>
      </c>
      <c r="BU99" s="71">
        <v>17.007100000000001</v>
      </c>
      <c r="BV99" s="71">
        <v>-262.71769999999998</v>
      </c>
      <c r="BW99" s="75"/>
      <c r="BY99" s="71"/>
      <c r="BZ99" s="71"/>
      <c r="CA99" s="71"/>
      <c r="CC99" s="71"/>
    </row>
    <row r="100" spans="1:81" x14ac:dyDescent="0.2">
      <c r="A100">
        <f t="shared" si="54"/>
        <v>33000</v>
      </c>
      <c r="B100">
        <f t="shared" si="86"/>
        <v>33</v>
      </c>
      <c r="C100">
        <f t="shared" si="55"/>
        <v>2.2833408842987861</v>
      </c>
      <c r="D100">
        <f t="shared" si="56"/>
        <v>1.117473946090594</v>
      </c>
      <c r="F100">
        <f t="shared" si="57"/>
        <v>4.6955171707107647E-3</v>
      </c>
      <c r="G100">
        <f t="shared" si="58"/>
        <v>2.8263602254694001E-2</v>
      </c>
      <c r="H100">
        <f t="shared" si="59"/>
        <v>-3.1133290477453062</v>
      </c>
      <c r="J100">
        <f t="shared" si="60"/>
        <v>15</v>
      </c>
      <c r="M100">
        <f t="shared" si="61"/>
        <v>0.10222724721060046</v>
      </c>
      <c r="N100">
        <f t="shared" si="62"/>
        <v>-1.5707963250000001</v>
      </c>
      <c r="O100">
        <f t="shared" si="63"/>
        <v>9.8293957533257608</v>
      </c>
      <c r="P100">
        <f t="shared" si="64"/>
        <v>1.4688843544557568</v>
      </c>
      <c r="Q100">
        <f t="shared" si="65"/>
        <v>13.584785683651228</v>
      </c>
      <c r="R100">
        <f t="shared" si="66"/>
        <v>1.4971179230397549</v>
      </c>
      <c r="S100">
        <f t="shared" si="67"/>
        <v>0.63032705533516886</v>
      </c>
      <c r="T100">
        <f t="shared" si="68"/>
        <v>-0.88882190317639098</v>
      </c>
      <c r="U100">
        <f t="shared" si="69"/>
        <v>0.999993040682713</v>
      </c>
      <c r="V100">
        <f t="shared" si="70"/>
        <v>-3.7307707940801879E-3</v>
      </c>
      <c r="X100">
        <f t="shared" si="87"/>
        <v>2.8210929970827698</v>
      </c>
      <c r="Y100">
        <f t="shared" si="71"/>
        <v>-85.554162524330081</v>
      </c>
      <c r="Z100">
        <f t="shared" si="88"/>
        <v>94.445837475669919</v>
      </c>
      <c r="AC100">
        <v>1</v>
      </c>
      <c r="AD100">
        <f t="shared" si="72"/>
        <v>9.7783956186840015</v>
      </c>
      <c r="AE100">
        <f t="shared" si="73"/>
        <v>-2.0275025630936909E-6</v>
      </c>
      <c r="AF100">
        <f t="shared" si="74"/>
        <v>5.4345154615290006E-4</v>
      </c>
      <c r="AG100">
        <f t="shared" si="89"/>
        <v>17986.017061245439</v>
      </c>
      <c r="AH100">
        <f t="shared" si="90"/>
        <v>-1907.1924682682052</v>
      </c>
      <c r="AJ100">
        <f t="shared" si="75"/>
        <v>18000</v>
      </c>
      <c r="AK100">
        <f t="shared" si="76"/>
        <v>22169.339685108</v>
      </c>
      <c r="AL100">
        <v>1</v>
      </c>
      <c r="AM100">
        <f t="shared" si="77"/>
        <v>13.547929807566</v>
      </c>
      <c r="AN100">
        <f t="shared" si="91"/>
        <v>1725.03313184025</v>
      </c>
      <c r="AO100">
        <f t="shared" si="92"/>
        <v>-1201.2881007894507</v>
      </c>
      <c r="AQ100">
        <f t="shared" si="78"/>
        <v>2.2951572182694515</v>
      </c>
      <c r="AR100">
        <f t="shared" si="79"/>
        <v>-151.4803764057838</v>
      </c>
      <c r="AT100">
        <f t="shared" si="104"/>
        <v>-247621.49608550864</v>
      </c>
      <c r="AU100">
        <f t="shared" si="105"/>
        <v>-2728905.9410384833</v>
      </c>
      <c r="AV100">
        <f t="shared" si="93"/>
        <v>-1.6612887140533468</v>
      </c>
      <c r="AW100">
        <f t="shared" si="94"/>
        <v>-136350.65784290124</v>
      </c>
      <c r="AX100">
        <f t="shared" si="95"/>
        <v>-286192.34535960376</v>
      </c>
      <c r="AY100">
        <f t="shared" si="103"/>
        <v>-2.0154108784107665</v>
      </c>
      <c r="BA100">
        <f t="shared" si="80"/>
        <v>8.6435357042901195</v>
      </c>
      <c r="BB100">
        <f t="shared" si="96"/>
        <v>18.733828605963211</v>
      </c>
      <c r="BC100">
        <f t="shared" si="97"/>
        <v>0.35412216435741972</v>
      </c>
      <c r="BD100">
        <f t="shared" si="81"/>
        <v>-159.7102945270974</v>
      </c>
      <c r="BF100">
        <f t="shared" si="82"/>
        <v>2.8607375072002172</v>
      </c>
      <c r="BG100">
        <f t="shared" si="83"/>
        <v>-94.064368502234871</v>
      </c>
      <c r="BH100">
        <f t="shared" si="98"/>
        <v>85.935631497765129</v>
      </c>
      <c r="BI100">
        <f t="shared" si="99"/>
        <v>85.935631497765129</v>
      </c>
      <c r="BJ100">
        <f t="shared" si="84"/>
        <v>0</v>
      </c>
      <c r="BK100">
        <f t="shared" si="100"/>
        <v>0</v>
      </c>
      <c r="BM100">
        <f t="shared" si="101"/>
        <v>-15.873091098762993</v>
      </c>
      <c r="BN100">
        <f t="shared" si="85"/>
        <v>-114.35407397513748</v>
      </c>
      <c r="BQ100" s="66">
        <f t="shared" si="102"/>
        <v>35.63578940624835</v>
      </c>
      <c r="BR100" s="71"/>
      <c r="BS100" s="71"/>
      <c r="BT100" s="71">
        <v>794.32799999999997</v>
      </c>
      <c r="BU100" s="71">
        <v>16.8354</v>
      </c>
      <c r="BV100" s="71">
        <v>-262.79380000000003</v>
      </c>
      <c r="BW100" s="75"/>
      <c r="BY100" s="71"/>
      <c r="BZ100" s="71"/>
      <c r="CA100" s="71"/>
      <c r="CC100" s="71"/>
    </row>
    <row r="101" spans="1:81" x14ac:dyDescent="0.2">
      <c r="A101">
        <f t="shared" si="54"/>
        <v>33500</v>
      </c>
      <c r="B101">
        <f t="shared" si="86"/>
        <v>33.5</v>
      </c>
      <c r="C101">
        <f t="shared" si="55"/>
        <v>2.3113414165704724</v>
      </c>
      <c r="D101">
        <f t="shared" si="56"/>
        <v>1.1233671670701026</v>
      </c>
      <c r="F101">
        <f t="shared" si="57"/>
        <v>4.5558134606709022E-3</v>
      </c>
      <c r="G101">
        <f t="shared" si="58"/>
        <v>2.783807190450148E-2</v>
      </c>
      <c r="H101">
        <f t="shared" si="59"/>
        <v>-3.1137545780954987</v>
      </c>
      <c r="J101">
        <f t="shared" si="60"/>
        <v>15</v>
      </c>
      <c r="M101">
        <f t="shared" si="61"/>
        <v>0.10070146740148703</v>
      </c>
      <c r="N101">
        <f t="shared" si="62"/>
        <v>-1.5707963250000001</v>
      </c>
      <c r="O101">
        <f t="shared" si="63"/>
        <v>9.9767959287618027</v>
      </c>
      <c r="P101">
        <f t="shared" si="64"/>
        <v>1.4703951507947384</v>
      </c>
      <c r="Q101">
        <f t="shared" si="65"/>
        <v>13.789508718973135</v>
      </c>
      <c r="R101">
        <f t="shared" si="66"/>
        <v>1.4982137134721525</v>
      </c>
      <c r="S101">
        <f t="shared" si="67"/>
        <v>0.6246063668359485</v>
      </c>
      <c r="T101">
        <f t="shared" si="68"/>
        <v>-0.89616894614466869</v>
      </c>
      <c r="U101">
        <f t="shared" si="69"/>
        <v>0.99999282819895674</v>
      </c>
      <c r="V101">
        <f t="shared" si="70"/>
        <v>-3.7872970877959435E-3</v>
      </c>
      <c r="X101">
        <f t="shared" si="87"/>
        <v>2.7140053576462888</v>
      </c>
      <c r="Y101">
        <f t="shared" si="71"/>
        <v>-85.515733778653484</v>
      </c>
      <c r="Z101">
        <f t="shared" si="88"/>
        <v>94.484266221346516</v>
      </c>
      <c r="AC101">
        <v>1</v>
      </c>
      <c r="AD101">
        <f t="shared" si="72"/>
        <v>9.9265531280580017</v>
      </c>
      <c r="AE101">
        <f t="shared" si="73"/>
        <v>-2.0894074852450824E-6</v>
      </c>
      <c r="AF101">
        <f t="shared" si="74"/>
        <v>5.5168566048855003E-4</v>
      </c>
      <c r="AG101">
        <f t="shared" si="89"/>
        <v>17986.009417720135</v>
      </c>
      <c r="AH101">
        <f t="shared" si="90"/>
        <v>-1880.7451000053818</v>
      </c>
      <c r="AJ101">
        <f t="shared" si="75"/>
        <v>18000</v>
      </c>
      <c r="AK101">
        <f t="shared" si="76"/>
        <v>22505.238771246</v>
      </c>
      <c r="AL101">
        <v>1</v>
      </c>
      <c r="AM101">
        <f t="shared" si="77"/>
        <v>13.753201471317</v>
      </c>
      <c r="AN101">
        <f t="shared" si="91"/>
        <v>1722.4198497297386</v>
      </c>
      <c r="AO101">
        <f t="shared" si="92"/>
        <v>-1183.5484402826485</v>
      </c>
      <c r="AQ101">
        <f t="shared" si="78"/>
        <v>2.2271714922048997</v>
      </c>
      <c r="AR101">
        <f t="shared" si="79"/>
        <v>-149.22048997772828</v>
      </c>
      <c r="AT101">
        <f t="shared" si="104"/>
        <v>-240587.77791233952</v>
      </c>
      <c r="AU101">
        <f t="shared" si="105"/>
        <v>-2688069.8799270699</v>
      </c>
      <c r="AV101">
        <f t="shared" si="93"/>
        <v>-1.6600605348927657</v>
      </c>
      <c r="AW101">
        <f t="shared" si="94"/>
        <v>-131100.64022551235</v>
      </c>
      <c r="AX101">
        <f t="shared" si="95"/>
        <v>-281456.30162569444</v>
      </c>
      <c r="AY101">
        <f t="shared" si="103"/>
        <v>-2.0067065934799357</v>
      </c>
      <c r="BA101">
        <f t="shared" si="80"/>
        <v>8.6920710238465375</v>
      </c>
      <c r="BB101">
        <f t="shared" si="96"/>
        <v>18.782465326597475</v>
      </c>
      <c r="BC101">
        <f t="shared" si="97"/>
        <v>0.34664605858717001</v>
      </c>
      <c r="BD101">
        <f t="shared" si="81"/>
        <v>-160.13864383541559</v>
      </c>
      <c r="BF101">
        <f t="shared" si="82"/>
        <v>2.7528912048456649</v>
      </c>
      <c r="BG101">
        <f t="shared" si="83"/>
        <v>-94.179442213452035</v>
      </c>
      <c r="BH101">
        <f t="shared" si="98"/>
        <v>85.820557786547965</v>
      </c>
      <c r="BI101">
        <f t="shared" si="99"/>
        <v>85.820557786547965</v>
      </c>
      <c r="BJ101">
        <f t="shared" si="84"/>
        <v>0</v>
      </c>
      <c r="BK101">
        <f t="shared" si="100"/>
        <v>0</v>
      </c>
      <c r="BM101">
        <f t="shared" si="101"/>
        <v>-16.029574121751807</v>
      </c>
      <c r="BN101">
        <f t="shared" si="85"/>
        <v>-114.04079837803647</v>
      </c>
      <c r="BQ101" s="66">
        <f t="shared" si="102"/>
        <v>35.684426126882613</v>
      </c>
      <c r="BR101" s="71"/>
      <c r="BS101" s="71"/>
      <c r="BT101" s="71">
        <v>812.83100000000002</v>
      </c>
      <c r="BU101" s="71">
        <v>16.6614</v>
      </c>
      <c r="BV101" s="71">
        <v>-262.23689999999999</v>
      </c>
      <c r="BW101" s="75"/>
      <c r="BY101" s="71"/>
      <c r="BZ101" s="71"/>
      <c r="CA101" s="71"/>
      <c r="CC101" s="71"/>
    </row>
    <row r="102" spans="1:81" x14ac:dyDescent="0.2">
      <c r="A102">
        <f t="shared" ref="A102:A165" si="106">A101+500</f>
        <v>34000</v>
      </c>
      <c r="B102">
        <f t="shared" si="86"/>
        <v>34</v>
      </c>
      <c r="C102">
        <f t="shared" si="55"/>
        <v>2.3394202986739931</v>
      </c>
      <c r="D102">
        <f t="shared" si="56"/>
        <v>1.1291191171240582</v>
      </c>
      <c r="F102">
        <f t="shared" si="57"/>
        <v>4.4222612522295647E-3</v>
      </c>
      <c r="G102">
        <f t="shared" si="58"/>
        <v>2.7425217022760847E-2</v>
      </c>
      <c r="H102">
        <f t="shared" si="59"/>
        <v>-3.1141674329772395</v>
      </c>
      <c r="J102">
        <f t="shared" si="60"/>
        <v>15</v>
      </c>
      <c r="M102">
        <f t="shared" si="61"/>
        <v>9.9220563469112219E-2</v>
      </c>
      <c r="N102">
        <f t="shared" si="62"/>
        <v>-1.5707963250000001</v>
      </c>
      <c r="O102">
        <f t="shared" si="63"/>
        <v>10.124218213175057</v>
      </c>
      <c r="P102">
        <f t="shared" si="64"/>
        <v>1.471861951932526</v>
      </c>
      <c r="Q102">
        <f t="shared" si="65"/>
        <v>13.994247827676023</v>
      </c>
      <c r="R102">
        <f t="shared" si="66"/>
        <v>1.4992774418118131</v>
      </c>
      <c r="S102">
        <f t="shared" si="67"/>
        <v>0.61895606987040874</v>
      </c>
      <c r="T102">
        <f t="shared" si="68"/>
        <v>-0.90338344747303811</v>
      </c>
      <c r="U102">
        <f t="shared" si="69"/>
        <v>0.99999261252009464</v>
      </c>
      <c r="V102">
        <f t="shared" si="70"/>
        <v>-3.8438233573090852E-3</v>
      </c>
      <c r="X102">
        <f t="shared" si="87"/>
        <v>2.6082654678357704</v>
      </c>
      <c r="Y102">
        <f t="shared" si="71"/>
        <v>-85.481436693918312</v>
      </c>
      <c r="Z102">
        <f t="shared" si="88"/>
        <v>94.518563306081688</v>
      </c>
      <c r="AC102">
        <v>1</v>
      </c>
      <c r="AD102">
        <f t="shared" si="72"/>
        <v>10.074710637432</v>
      </c>
      <c r="AE102">
        <f t="shared" si="73"/>
        <v>-2.1522433084814572E-6</v>
      </c>
      <c r="AF102">
        <f t="shared" si="74"/>
        <v>5.599197748242E-4</v>
      </c>
      <c r="AG102">
        <f t="shared" si="89"/>
        <v>17986.001659261234</v>
      </c>
      <c r="AH102">
        <f t="shared" si="90"/>
        <v>-1855.1054962179339</v>
      </c>
      <c r="AJ102">
        <f t="shared" si="75"/>
        <v>18000</v>
      </c>
      <c r="AK102">
        <f t="shared" si="76"/>
        <v>22841.137857384001</v>
      </c>
      <c r="AL102">
        <v>1</v>
      </c>
      <c r="AM102">
        <f t="shared" si="77"/>
        <v>13.958473135067999</v>
      </c>
      <c r="AN102">
        <f t="shared" si="91"/>
        <v>1719.9202245881183</v>
      </c>
      <c r="AO102">
        <f t="shared" si="92"/>
        <v>-1166.3223919893708</v>
      </c>
      <c r="AQ102">
        <f t="shared" si="78"/>
        <v>2.1621621621621623</v>
      </c>
      <c r="AR102">
        <f t="shared" si="79"/>
        <v>-147.02702702702703</v>
      </c>
      <c r="AT102">
        <f t="shared" si="104"/>
        <v>-233861.99369418004</v>
      </c>
      <c r="AU102">
        <f t="shared" si="105"/>
        <v>-2648439.3909750958</v>
      </c>
      <c r="AV102">
        <f t="shared" si="93"/>
        <v>-1.658869702636725</v>
      </c>
      <c r="AW102">
        <f t="shared" si="94"/>
        <v>-126078.52287632412</v>
      </c>
      <c r="AX102">
        <f t="shared" si="95"/>
        <v>-276879.71402593062</v>
      </c>
      <c r="AY102">
        <f t="shared" si="103"/>
        <v>-1.9980944223577133</v>
      </c>
      <c r="BA102">
        <f t="shared" si="80"/>
        <v>8.7391508269445826</v>
      </c>
      <c r="BB102">
        <f t="shared" si="96"/>
        <v>18.829384695962496</v>
      </c>
      <c r="BC102">
        <f t="shared" si="97"/>
        <v>0.33922471972098833</v>
      </c>
      <c r="BD102">
        <f t="shared" si="81"/>
        <v>-160.56385523127008</v>
      </c>
      <c r="BF102">
        <f t="shared" si="82"/>
        <v>2.6462628675107691</v>
      </c>
      <c r="BG102">
        <f t="shared" si="83"/>
        <v>-94.298745989170399</v>
      </c>
      <c r="BH102">
        <f t="shared" si="98"/>
        <v>85.701254010829601</v>
      </c>
      <c r="BI102">
        <f t="shared" si="99"/>
        <v>85.701254010829601</v>
      </c>
      <c r="BJ102">
        <f t="shared" si="84"/>
        <v>0</v>
      </c>
      <c r="BK102">
        <f t="shared" si="100"/>
        <v>0</v>
      </c>
      <c r="BM102">
        <f t="shared" si="101"/>
        <v>-16.183121828451728</v>
      </c>
      <c r="BN102">
        <f t="shared" si="85"/>
        <v>-113.73489075790035</v>
      </c>
      <c r="BQ102" s="66">
        <f t="shared" si="102"/>
        <v>35.731345496247634</v>
      </c>
      <c r="BR102" s="71"/>
      <c r="BS102" s="71"/>
      <c r="BT102" s="71">
        <v>831.76400000000001</v>
      </c>
      <c r="BU102" s="71">
        <v>16.509799999999998</v>
      </c>
      <c r="BV102" s="71">
        <v>-262.34320000000002</v>
      </c>
      <c r="BW102" s="75"/>
      <c r="BY102" s="71"/>
      <c r="BZ102" s="71"/>
      <c r="CA102" s="71"/>
      <c r="CC102" s="71"/>
    </row>
    <row r="103" spans="1:81" x14ac:dyDescent="0.2">
      <c r="A103">
        <f t="shared" si="106"/>
        <v>34500</v>
      </c>
      <c r="B103">
        <f t="shared" si="86"/>
        <v>34.5</v>
      </c>
      <c r="C103">
        <f t="shared" si="55"/>
        <v>2.3675747429790071</v>
      </c>
      <c r="D103">
        <f t="shared" si="56"/>
        <v>1.1347344485868109</v>
      </c>
      <c r="F103">
        <f t="shared" si="57"/>
        <v>4.2945041630290766E-3</v>
      </c>
      <c r="G103">
        <f t="shared" si="58"/>
        <v>2.702447737631836E-2</v>
      </c>
      <c r="H103">
        <f t="shared" si="59"/>
        <v>-3.1145681726236818</v>
      </c>
      <c r="J103">
        <f t="shared" si="60"/>
        <v>15</v>
      </c>
      <c r="M103">
        <f t="shared" si="61"/>
        <v>9.7782584288400434E-2</v>
      </c>
      <c r="N103">
        <f t="shared" si="62"/>
        <v>-1.5707963250000001</v>
      </c>
      <c r="O103">
        <f t="shared" si="63"/>
        <v>10.271661654619509</v>
      </c>
      <c r="P103">
        <f t="shared" si="64"/>
        <v>1.4732866459903027</v>
      </c>
      <c r="Q103">
        <f t="shared" si="65"/>
        <v>14.199002314461122</v>
      </c>
      <c r="R103">
        <f t="shared" si="66"/>
        <v>1.500310492636953</v>
      </c>
      <c r="S103">
        <f t="shared" si="67"/>
        <v>0.61337601236423811</v>
      </c>
      <c r="T103">
        <f t="shared" si="68"/>
        <v>-0.91046823066276128</v>
      </c>
      <c r="U103">
        <f t="shared" si="69"/>
        <v>0.99999239364613302</v>
      </c>
      <c r="V103">
        <f t="shared" si="70"/>
        <v>-3.9003496022584003E-3</v>
      </c>
      <c r="X103">
        <f t="shared" si="87"/>
        <v>2.5038303250395835</v>
      </c>
      <c r="Y103">
        <f t="shared" si="71"/>
        <v>-85.451011072818218</v>
      </c>
      <c r="Z103">
        <f t="shared" si="88"/>
        <v>94.548988927181782</v>
      </c>
      <c r="AC103">
        <v>1</v>
      </c>
      <c r="AD103">
        <f t="shared" si="72"/>
        <v>10.222868146806002</v>
      </c>
      <c r="AE103">
        <f t="shared" si="73"/>
        <v>-2.2160100328028149E-6</v>
      </c>
      <c r="AF103">
        <f t="shared" si="74"/>
        <v>5.6815388915984998E-4</v>
      </c>
      <c r="AG103">
        <f t="shared" si="89"/>
        <v>17985.993785869054</v>
      </c>
      <c r="AH103">
        <f t="shared" si="90"/>
        <v>-1830.2385366350127</v>
      </c>
      <c r="AJ103">
        <f t="shared" si="75"/>
        <v>18000</v>
      </c>
      <c r="AK103">
        <f t="shared" si="76"/>
        <v>23177.036943522002</v>
      </c>
      <c r="AL103">
        <v>1</v>
      </c>
      <c r="AM103">
        <f t="shared" si="77"/>
        <v>14.163744798819</v>
      </c>
      <c r="AN103">
        <f t="shared" si="91"/>
        <v>1717.527770510047</v>
      </c>
      <c r="AO103">
        <f t="shared" si="92"/>
        <v>-1149.5880828668712</v>
      </c>
      <c r="AQ103">
        <f t="shared" si="78"/>
        <v>2.0999580008399832</v>
      </c>
      <c r="AR103">
        <f t="shared" si="79"/>
        <v>-144.89710205795885</v>
      </c>
      <c r="AT103">
        <f t="shared" si="104"/>
        <v>-227426.42847951871</v>
      </c>
      <c r="AU103">
        <f t="shared" si="105"/>
        <v>-2609961.8012633342</v>
      </c>
      <c r="AV103">
        <f t="shared" si="93"/>
        <v>-1.657714618136249</v>
      </c>
      <c r="AW103">
        <f t="shared" si="94"/>
        <v>-121271.33115539144</v>
      </c>
      <c r="AX103">
        <f t="shared" si="95"/>
        <v>-272454.5200953231</v>
      </c>
      <c r="AY103">
        <f t="shared" si="103"/>
        <v>-1.989573534325171</v>
      </c>
      <c r="BA103">
        <f t="shared" si="80"/>
        <v>8.7848136160551444</v>
      </c>
      <c r="BB103">
        <f t="shared" si="96"/>
        <v>18.874651033467586</v>
      </c>
      <c r="BC103">
        <f t="shared" si="97"/>
        <v>0.33185891618892205</v>
      </c>
      <c r="BD103">
        <f t="shared" si="81"/>
        <v>-160.98588468686228</v>
      </c>
      <c r="BF103">
        <f t="shared" si="82"/>
        <v>2.540810742501471</v>
      </c>
      <c r="BG103">
        <f t="shared" si="83"/>
        <v>-94.422001341463144</v>
      </c>
      <c r="BH103">
        <f t="shared" si="98"/>
        <v>85.577998658536856</v>
      </c>
      <c r="BI103">
        <f t="shared" si="99"/>
        <v>85.577998658536856</v>
      </c>
      <c r="BJ103">
        <f t="shared" si="84"/>
        <v>0</v>
      </c>
      <c r="BK103">
        <f t="shared" si="100"/>
        <v>0</v>
      </c>
      <c r="BM103">
        <f t="shared" si="101"/>
        <v>-16.333840290966116</v>
      </c>
      <c r="BN103">
        <f t="shared" si="85"/>
        <v>-113.43611665460089</v>
      </c>
      <c r="BQ103" s="66">
        <f t="shared" si="102"/>
        <v>35.776611833752725</v>
      </c>
      <c r="BR103" s="71"/>
      <c r="BS103" s="71"/>
      <c r="BT103" s="71">
        <v>851.13800000000003</v>
      </c>
      <c r="BU103" s="71">
        <v>16.276800000000001</v>
      </c>
      <c r="BV103" s="71">
        <v>-262.197</v>
      </c>
      <c r="BW103" s="75"/>
      <c r="BY103" s="71"/>
      <c r="BZ103" s="71"/>
      <c r="CA103" s="71"/>
      <c r="CC103" s="71"/>
    </row>
    <row r="104" spans="1:81" x14ac:dyDescent="0.2">
      <c r="A104">
        <f t="shared" si="106"/>
        <v>35000</v>
      </c>
      <c r="B104">
        <f t="shared" si="86"/>
        <v>35</v>
      </c>
      <c r="C104">
        <f t="shared" si="55"/>
        <v>2.3958020855627007</v>
      </c>
      <c r="D104">
        <f t="shared" si="56"/>
        <v>1.1402176298878544</v>
      </c>
      <c r="F104">
        <f t="shared" si="57"/>
        <v>4.1722112818266942E-3</v>
      </c>
      <c r="G104">
        <f t="shared" si="58"/>
        <v>2.6635325388106965E-2</v>
      </c>
      <c r="H104">
        <f t="shared" si="59"/>
        <v>-3.1149573246118933</v>
      </c>
      <c r="J104">
        <f t="shared" si="60"/>
        <v>15</v>
      </c>
      <c r="M104">
        <f t="shared" si="61"/>
        <v>9.6385690227137583E-2</v>
      </c>
      <c r="N104">
        <f t="shared" si="62"/>
        <v>-1.5707963250000001</v>
      </c>
      <c r="O104">
        <f t="shared" si="63"/>
        <v>10.419125354901141</v>
      </c>
      <c r="P104">
        <f t="shared" si="64"/>
        <v>1.4746710149046134</v>
      </c>
      <c r="Q104">
        <f t="shared" si="65"/>
        <v>14.403771523514516</v>
      </c>
      <c r="R104">
        <f t="shared" si="66"/>
        <v>1.5013141720620158</v>
      </c>
      <c r="S104">
        <f t="shared" si="67"/>
        <v>0.6078659698894141</v>
      </c>
      <c r="T104">
        <f t="shared" si="68"/>
        <v>-0.91742607070215831</v>
      </c>
      <c r="U104">
        <f t="shared" si="69"/>
        <v>0.99999217157707754</v>
      </c>
      <c r="V104">
        <f t="shared" si="70"/>
        <v>-3.9568758222826789E-3</v>
      </c>
      <c r="X104">
        <f t="shared" si="87"/>
        <v>2.4006594135411667</v>
      </c>
      <c r="Y104">
        <f t="shared" si="71"/>
        <v>-85.424213183950869</v>
      </c>
      <c r="Z104">
        <f t="shared" si="88"/>
        <v>94.575786816049131</v>
      </c>
      <c r="AC104">
        <v>1</v>
      </c>
      <c r="AD104">
        <f t="shared" si="72"/>
        <v>10.37102565618</v>
      </c>
      <c r="AE104">
        <f t="shared" si="73"/>
        <v>-2.2807076582091562E-6</v>
      </c>
      <c r="AF104">
        <f t="shared" si="74"/>
        <v>5.7638800349550006E-4</v>
      </c>
      <c r="AG104">
        <f t="shared" si="89"/>
        <v>17985.985797543879</v>
      </c>
      <c r="AH104">
        <f t="shared" si="90"/>
        <v>-1806.1111078572733</v>
      </c>
      <c r="AJ104">
        <f t="shared" si="75"/>
        <v>18000</v>
      </c>
      <c r="AK104">
        <f t="shared" si="76"/>
        <v>23512.936029659999</v>
      </c>
      <c r="AL104">
        <v>1</v>
      </c>
      <c r="AM104">
        <f t="shared" si="77"/>
        <v>14.369016462569999</v>
      </c>
      <c r="AN104">
        <f t="shared" si="91"/>
        <v>1715.2364569926201</v>
      </c>
      <c r="AO104">
        <f t="shared" si="92"/>
        <v>-1133.3248580671982</v>
      </c>
      <c r="AQ104">
        <f t="shared" si="78"/>
        <v>2.0403999183840034</v>
      </c>
      <c r="AR104">
        <f t="shared" si="79"/>
        <v>-142.82799428688023</v>
      </c>
      <c r="AT104">
        <f t="shared" si="104"/>
        <v>-221264.62304114515</v>
      </c>
      <c r="AU104">
        <f t="shared" si="105"/>
        <v>-2572587.4656925704</v>
      </c>
      <c r="AV104">
        <f t="shared" si="93"/>
        <v>-1.6565937719200658</v>
      </c>
      <c r="AW104">
        <f t="shared" si="94"/>
        <v>-116666.99887324782</v>
      </c>
      <c r="AX104">
        <f t="shared" si="95"/>
        <v>-268173.19622482755</v>
      </c>
      <c r="AY104">
        <f t="shared" si="103"/>
        <v>-1.9811430385459745</v>
      </c>
      <c r="BA104">
        <f t="shared" si="80"/>
        <v>8.8290970188620523</v>
      </c>
      <c r="BB104">
        <f t="shared" si="96"/>
        <v>18.918325782132278</v>
      </c>
      <c r="BC104">
        <f t="shared" si="97"/>
        <v>0.32454926662590866</v>
      </c>
      <c r="BD104">
        <f t="shared" si="81"/>
        <v>-161.40469675702113</v>
      </c>
      <c r="BF104">
        <f t="shared" si="82"/>
        <v>2.4364955977965246</v>
      </c>
      <c r="BG104">
        <f t="shared" si="83"/>
        <v>-94.548947030947318</v>
      </c>
      <c r="BH104">
        <f t="shared" si="98"/>
        <v>85.451052969052682</v>
      </c>
      <c r="BI104">
        <f t="shared" si="99"/>
        <v>85.451052969052682</v>
      </c>
      <c r="BJ104">
        <f t="shared" si="84"/>
        <v>0</v>
      </c>
      <c r="BK104">
        <f t="shared" si="100"/>
        <v>0</v>
      </c>
      <c r="BM104">
        <f t="shared" si="101"/>
        <v>-16.481830184335752</v>
      </c>
      <c r="BN104">
        <f t="shared" si="85"/>
        <v>-113.14425027392619</v>
      </c>
      <c r="BQ104" s="66">
        <f t="shared" si="102"/>
        <v>35.82028658241741</v>
      </c>
      <c r="BR104" s="71"/>
      <c r="BS104" s="71"/>
      <c r="BT104" s="71">
        <v>870.96400000000006</v>
      </c>
      <c r="BU104" s="71">
        <v>16.106100000000001</v>
      </c>
      <c r="BV104" s="71">
        <v>-261.76800000000003</v>
      </c>
      <c r="BW104" s="75"/>
      <c r="BY104" s="71"/>
      <c r="BZ104" s="71"/>
      <c r="CA104" s="71"/>
      <c r="CC104" s="71"/>
    </row>
    <row r="105" spans="1:81" x14ac:dyDescent="0.2">
      <c r="A105">
        <f t="shared" si="106"/>
        <v>35500</v>
      </c>
      <c r="B105">
        <f t="shared" si="86"/>
        <v>35.5</v>
      </c>
      <c r="C105">
        <f t="shared" si="55"/>
        <v>2.4240997798422703</v>
      </c>
      <c r="D105">
        <f t="shared" si="56"/>
        <v>1.1455729534059398</v>
      </c>
      <c r="F105">
        <f t="shared" si="57"/>
        <v>4.0550750121940721E-3</v>
      </c>
      <c r="G105">
        <f t="shared" si="58"/>
        <v>2.6257263783788495E-2</v>
      </c>
      <c r="H105">
        <f t="shared" si="59"/>
        <v>-3.1153353862162119</v>
      </c>
      <c r="J105">
        <f t="shared" si="60"/>
        <v>15</v>
      </c>
      <c r="M105">
        <f t="shared" si="61"/>
        <v>9.5028145294360988E-2</v>
      </c>
      <c r="N105">
        <f t="shared" si="62"/>
        <v>-1.5707963250000001</v>
      </c>
      <c r="O105">
        <f t="shared" si="63"/>
        <v>10.566608465845352</v>
      </c>
      <c r="P105">
        <f t="shared" si="64"/>
        <v>1.4760167417656882</v>
      </c>
      <c r="Q105">
        <f t="shared" si="65"/>
        <v>14.608554835746803</v>
      </c>
      <c r="R105">
        <f t="shared" si="66"/>
        <v>1.5022897132094735</v>
      </c>
      <c r="S105">
        <f t="shared" si="67"/>
        <v>0.60242565178268248</v>
      </c>
      <c r="T105">
        <f t="shared" si="68"/>
        <v>-0.92425969321011758</v>
      </c>
      <c r="U105">
        <f t="shared" si="69"/>
        <v>0.99999194631293531</v>
      </c>
      <c r="V105">
        <f t="shared" si="70"/>
        <v>-4.0134020170207096E-3</v>
      </c>
      <c r="X105">
        <f t="shared" si="87"/>
        <v>2.2987145117249961</v>
      </c>
      <c r="Y105">
        <f t="shared" si="71"/>
        <v>-85.4008146636085</v>
      </c>
      <c r="Z105">
        <f t="shared" si="88"/>
        <v>94.5991853363915</v>
      </c>
      <c r="AC105">
        <v>1</v>
      </c>
      <c r="AD105">
        <f t="shared" si="72"/>
        <v>10.519183165554001</v>
      </c>
      <c r="AE105">
        <f t="shared" si="73"/>
        <v>-2.3463361847004813E-6</v>
      </c>
      <c r="AF105">
        <f t="shared" si="74"/>
        <v>5.8462211783115003E-4</v>
      </c>
      <c r="AG105">
        <f t="shared" si="89"/>
        <v>17985.977694286023</v>
      </c>
      <c r="AH105">
        <f t="shared" si="90"/>
        <v>-1782.6919620279</v>
      </c>
      <c r="AJ105">
        <f t="shared" si="75"/>
        <v>18000</v>
      </c>
      <c r="AK105">
        <f t="shared" si="76"/>
        <v>23848.835115798</v>
      </c>
      <c r="AL105">
        <v>1</v>
      </c>
      <c r="AM105">
        <f t="shared" si="77"/>
        <v>14.574288126320999</v>
      </c>
      <c r="AN105">
        <f t="shared" si="91"/>
        <v>1713.0406711563533</v>
      </c>
      <c r="AO105">
        <f t="shared" si="92"/>
        <v>-1117.5131977409985</v>
      </c>
      <c r="AQ105">
        <f t="shared" si="78"/>
        <v>1.9833399444664817</v>
      </c>
      <c r="AR105">
        <f t="shared" si="79"/>
        <v>-140.81713605712019</v>
      </c>
      <c r="AT105">
        <f t="shared" si="104"/>
        <v>-215361.26856345672</v>
      </c>
      <c r="AU105">
        <f t="shared" si="105"/>
        <v>-2536269.5522735734</v>
      </c>
      <c r="AV105">
        <f t="shared" si="93"/>
        <v>-1.6555057380182654</v>
      </c>
      <c r="AW105">
        <f t="shared" si="94"/>
        <v>-112254.29317332023</v>
      </c>
      <c r="AX105">
        <f t="shared" si="95"/>
        <v>-264028.71332590154</v>
      </c>
      <c r="AY105">
        <f t="shared" si="103"/>
        <v>-1.9728019920169775</v>
      </c>
      <c r="BA105">
        <f t="shared" si="80"/>
        <v>8.8720377830663057</v>
      </c>
      <c r="BB105">
        <f t="shared" si="96"/>
        <v>18.960467653223933</v>
      </c>
      <c r="BC105">
        <f t="shared" si="97"/>
        <v>0.31729625399871209</v>
      </c>
      <c r="BD105">
        <f t="shared" si="81"/>
        <v>-161.82026376978945</v>
      </c>
      <c r="BF105">
        <f t="shared" si="82"/>
        <v>2.3332805238061667</v>
      </c>
      <c r="BG105">
        <f t="shared" si="83"/>
        <v>-94.679337942199723</v>
      </c>
      <c r="BH105">
        <f t="shared" si="98"/>
        <v>85.320662057800277</v>
      </c>
      <c r="BI105">
        <f t="shared" si="99"/>
        <v>85.320662057800277</v>
      </c>
      <c r="BJ105">
        <f t="shared" si="84"/>
        <v>0</v>
      </c>
      <c r="BK105">
        <f t="shared" si="100"/>
        <v>0</v>
      </c>
      <c r="BM105">
        <f t="shared" si="101"/>
        <v>-16.627187129417766</v>
      </c>
      <c r="BN105">
        <f t="shared" si="85"/>
        <v>-112.85907417241027</v>
      </c>
      <c r="BQ105" s="66">
        <f t="shared" si="102"/>
        <v>35.862428453509068</v>
      </c>
      <c r="BR105" s="71"/>
      <c r="BS105" s="71"/>
      <c r="BT105" s="71">
        <v>891.25099999999998</v>
      </c>
      <c r="BU105" s="71">
        <v>15.882400000000001</v>
      </c>
      <c r="BV105" s="71">
        <v>-261.38310000000001</v>
      </c>
      <c r="BW105" s="75"/>
      <c r="BY105" s="71"/>
      <c r="BZ105" s="71"/>
      <c r="CA105" s="71"/>
      <c r="CC105" s="71"/>
    </row>
    <row r="106" spans="1:81" x14ac:dyDescent="0.2">
      <c r="A106">
        <f t="shared" si="106"/>
        <v>36000</v>
      </c>
      <c r="B106">
        <f t="shared" si="86"/>
        <v>36</v>
      </c>
      <c r="C106">
        <f t="shared" si="55"/>
        <v>2.4524653905664766</v>
      </c>
      <c r="D106">
        <f t="shared" si="56"/>
        <v>1.1508045430143572</v>
      </c>
      <c r="F106">
        <f t="shared" si="57"/>
        <v>3.9428091264616929E-3</v>
      </c>
      <c r="G106">
        <f t="shared" si="58"/>
        <v>2.5889823439664315E-2</v>
      </c>
      <c r="H106">
        <f t="shared" si="59"/>
        <v>-3.1157028265603359</v>
      </c>
      <c r="J106">
        <f t="shared" si="60"/>
        <v>15</v>
      </c>
      <c r="M106">
        <f t="shared" si="61"/>
        <v>9.3708309943050419E-2</v>
      </c>
      <c r="N106">
        <f t="shared" si="62"/>
        <v>-1.5707963250000001</v>
      </c>
      <c r="O106">
        <f t="shared" si="63"/>
        <v>10.714110185870471</v>
      </c>
      <c r="P106">
        <f t="shared" si="64"/>
        <v>1.477325417557324</v>
      </c>
      <c r="Q106">
        <f t="shared" si="65"/>
        <v>14.813351666260852</v>
      </c>
      <c r="R106">
        <f t="shared" si="66"/>
        <v>1.5032382812307288</v>
      </c>
      <c r="S106">
        <f t="shared" si="67"/>
        <v>0.59705470689146356</v>
      </c>
      <c r="T106">
        <f t="shared" si="68"/>
        <v>-0.93097177377730322</v>
      </c>
      <c r="U106">
        <f t="shared" si="69"/>
        <v>0.9999917178537121</v>
      </c>
      <c r="V106">
        <f t="shared" si="70"/>
        <v>-4.0699281861112848E-3</v>
      </c>
      <c r="X106">
        <f t="shared" si="87"/>
        <v>2.1979595164741723</v>
      </c>
      <c r="Y106">
        <f t="shared" si="71"/>
        <v>-85.380601495181523</v>
      </c>
      <c r="Z106">
        <f t="shared" si="88"/>
        <v>94.619398504818477</v>
      </c>
      <c r="AC106">
        <v>1</v>
      </c>
      <c r="AD106">
        <f t="shared" si="72"/>
        <v>10.667340674928001</v>
      </c>
      <c r="AE106">
        <f t="shared" si="73"/>
        <v>-2.4128956122767892E-6</v>
      </c>
      <c r="AF106">
        <f t="shared" si="74"/>
        <v>5.928562321668E-4</v>
      </c>
      <c r="AG106">
        <f t="shared" si="89"/>
        <v>17985.969476095801</v>
      </c>
      <c r="AH106">
        <f t="shared" si="90"/>
        <v>-1759.9515872810391</v>
      </c>
      <c r="AJ106">
        <f t="shared" si="75"/>
        <v>18000</v>
      </c>
      <c r="AK106">
        <f t="shared" si="76"/>
        <v>24184.734201935997</v>
      </c>
      <c r="AL106">
        <v>1</v>
      </c>
      <c r="AM106">
        <f t="shared" si="77"/>
        <v>14.779559790072</v>
      </c>
      <c r="AN106">
        <f t="shared" si="91"/>
        <v>1710.9351835670277</v>
      </c>
      <c r="AO106">
        <f t="shared" si="92"/>
        <v>-1102.1346405306986</v>
      </c>
      <c r="AQ106">
        <f t="shared" si="78"/>
        <v>1.9286403085824493</v>
      </c>
      <c r="AR106">
        <f t="shared" si="79"/>
        <v>-138.86210221793635</v>
      </c>
      <c r="AT106">
        <f t="shared" si="104"/>
        <v>-209702.11149110709</v>
      </c>
      <c r="AU106">
        <f t="shared" si="105"/>
        <v>-2500963.8454506821</v>
      </c>
      <c r="AV106">
        <f t="shared" si="93"/>
        <v>-1.6544491682876132</v>
      </c>
      <c r="AW106">
        <f t="shared" si="94"/>
        <v>-108022.746547534</v>
      </c>
      <c r="AX106">
        <f t="shared" si="95"/>
        <v>-260014.49678970687</v>
      </c>
      <c r="AY106">
        <f t="shared" si="103"/>
        <v>-1.964549406774601</v>
      </c>
      <c r="BA106">
        <f t="shared" si="80"/>
        <v>8.9136717744468328</v>
      </c>
      <c r="BB106">
        <f t="shared" si="96"/>
        <v>19.001132762894102</v>
      </c>
      <c r="BC106">
        <f t="shared" si="97"/>
        <v>0.31010023848698776</v>
      </c>
      <c r="BD106">
        <f t="shared" si="81"/>
        <v>-162.23256508839305</v>
      </c>
      <c r="BF106">
        <f t="shared" si="82"/>
        <v>2.2311307527726516</v>
      </c>
      <c r="BG106">
        <f t="shared" si="83"/>
        <v>-94.812944036719188</v>
      </c>
      <c r="BH106">
        <f t="shared" si="98"/>
        <v>85.187055963280812</v>
      </c>
      <c r="BI106">
        <f t="shared" si="99"/>
        <v>85.187055963280812</v>
      </c>
      <c r="BJ106">
        <f t="shared" si="84"/>
        <v>0</v>
      </c>
      <c r="BK106">
        <f t="shared" si="100"/>
        <v>0</v>
      </c>
      <c r="BM106">
        <f t="shared" si="101"/>
        <v>-16.770002010121448</v>
      </c>
      <c r="BN106">
        <f t="shared" si="85"/>
        <v>-112.58037894832616</v>
      </c>
      <c r="BQ106" s="66">
        <f t="shared" si="102"/>
        <v>35.90309356317924</v>
      </c>
      <c r="BR106" s="71"/>
      <c r="BS106" s="71"/>
      <c r="BT106" s="71">
        <v>912.01099999999997</v>
      </c>
      <c r="BU106" s="71">
        <v>15.6715</v>
      </c>
      <c r="BV106" s="71">
        <v>-261.74869999999999</v>
      </c>
      <c r="BW106" s="75"/>
      <c r="BY106" s="71"/>
      <c r="BZ106" s="71"/>
      <c r="CA106" s="71"/>
      <c r="CC106" s="71"/>
    </row>
    <row r="107" spans="1:81" x14ac:dyDescent="0.2">
      <c r="A107">
        <f t="shared" si="106"/>
        <v>36500</v>
      </c>
      <c r="B107">
        <f t="shared" si="86"/>
        <v>36.5</v>
      </c>
      <c r="C107">
        <f t="shared" si="55"/>
        <v>2.4808965881454426</v>
      </c>
      <c r="D107">
        <f t="shared" si="56"/>
        <v>1.1559163613223447</v>
      </c>
      <c r="F107">
        <f t="shared" si="57"/>
        <v>3.8351470067769606E-3</v>
      </c>
      <c r="G107">
        <f t="shared" si="58"/>
        <v>2.5532561411995346E-2</v>
      </c>
      <c r="H107">
        <f t="shared" si="59"/>
        <v>-3.116060088588005</v>
      </c>
      <c r="J107">
        <f t="shared" si="60"/>
        <v>15</v>
      </c>
      <c r="M107">
        <f t="shared" si="61"/>
        <v>9.2424634464378499E-2</v>
      </c>
      <c r="N107">
        <f t="shared" si="62"/>
        <v>-1.5707963250000001</v>
      </c>
      <c r="O107">
        <f t="shared" si="63"/>
        <v>10.861629756838514</v>
      </c>
      <c r="P107">
        <f t="shared" si="64"/>
        <v>1.4785985473543264</v>
      </c>
      <c r="Q107">
        <f t="shared" si="65"/>
        <v>15.018161462026008</v>
      </c>
      <c r="R107">
        <f t="shared" si="66"/>
        <v>1.5041609779188134</v>
      </c>
      <c r="S107">
        <f t="shared" si="67"/>
        <v>0.59175272896307318</v>
      </c>
      <c r="T107">
        <f t="shared" si="68"/>
        <v>-0.93756493748720815</v>
      </c>
      <c r="U107">
        <f t="shared" si="69"/>
        <v>0.99999148619941536</v>
      </c>
      <c r="V107">
        <f t="shared" si="70"/>
        <v>-4.126454329193196E-3</v>
      </c>
      <c r="X107">
        <f t="shared" si="87"/>
        <v>2.0983602830891792</v>
      </c>
      <c r="Y107">
        <f t="shared" si="71"/>
        <v>-85.363373060350767</v>
      </c>
      <c r="Z107">
        <f t="shared" si="88"/>
        <v>94.636626939649233</v>
      </c>
      <c r="AC107">
        <v>1</v>
      </c>
      <c r="AD107">
        <f t="shared" si="72"/>
        <v>10.815498184302001</v>
      </c>
      <c r="AE107">
        <f t="shared" si="73"/>
        <v>-2.4803859409380808E-6</v>
      </c>
      <c r="AF107">
        <f t="shared" si="74"/>
        <v>6.0109034650244998E-4</v>
      </c>
      <c r="AG107">
        <f t="shared" si="89"/>
        <v>17985.961142973527</v>
      </c>
      <c r="AH107">
        <f t="shared" si="90"/>
        <v>-1737.8620888383082</v>
      </c>
      <c r="AJ107">
        <f t="shared" si="75"/>
        <v>18000</v>
      </c>
      <c r="AK107">
        <f t="shared" si="76"/>
        <v>24520.633288073997</v>
      </c>
      <c r="AL107">
        <v>1</v>
      </c>
      <c r="AM107">
        <f t="shared" si="77"/>
        <v>14.984831453822999</v>
      </c>
      <c r="AN107">
        <f t="shared" si="91"/>
        <v>1708.915117272021</v>
      </c>
      <c r="AO107">
        <f t="shared" si="92"/>
        <v>-1087.1717131374023</v>
      </c>
      <c r="AQ107">
        <f t="shared" si="78"/>
        <v>1.876172607879925</v>
      </c>
      <c r="AR107">
        <f t="shared" si="79"/>
        <v>-136.96060037523452</v>
      </c>
      <c r="AT107">
        <f t="shared" si="104"/>
        <v>-204273.86743381422</v>
      </c>
      <c r="AU107">
        <f t="shared" si="105"/>
        <v>-2466628.5657146452</v>
      </c>
      <c r="AV107">
        <f t="shared" si="93"/>
        <v>-1.6534227871917941</v>
      </c>
      <c r="AW107">
        <f t="shared" si="94"/>
        <v>-103962.59522290951</v>
      </c>
      <c r="AX107">
        <f t="shared" si="95"/>
        <v>-256124.39026568359</v>
      </c>
      <c r="AY107">
        <f t="shared" si="103"/>
        <v>-1.9563842564243392</v>
      </c>
      <c r="BA107">
        <f t="shared" si="80"/>
        <v>8.9540339778153886</v>
      </c>
      <c r="BB107">
        <f t="shared" si="96"/>
        <v>19.040374761300843</v>
      </c>
      <c r="BC107">
        <f t="shared" si="97"/>
        <v>0.30296146923254508</v>
      </c>
      <c r="BD107">
        <f t="shared" si="81"/>
        <v>-162.64158643805774</v>
      </c>
      <c r="BF107">
        <f t="shared" si="82"/>
        <v>2.1300134941148703</v>
      </c>
      <c r="BG107">
        <f t="shared" si="83"/>
        <v>-94.949549377752945</v>
      </c>
      <c r="BH107">
        <f t="shared" si="98"/>
        <v>85.050450622247055</v>
      </c>
      <c r="BI107">
        <f t="shared" si="99"/>
        <v>85.050450622247055</v>
      </c>
      <c r="BJ107">
        <f t="shared" si="84"/>
        <v>0</v>
      </c>
      <c r="BK107">
        <f t="shared" si="100"/>
        <v>0</v>
      </c>
      <c r="BM107">
        <f t="shared" si="101"/>
        <v>-16.910361267185973</v>
      </c>
      <c r="BN107">
        <f t="shared" si="85"/>
        <v>-112.3079629396952</v>
      </c>
      <c r="BQ107" s="66">
        <f t="shared" si="102"/>
        <v>35.942335561585978</v>
      </c>
      <c r="BR107" s="71"/>
      <c r="BS107" s="71"/>
      <c r="BT107" s="71">
        <v>933.25400000000002</v>
      </c>
      <c r="BU107" s="71">
        <v>15.471399999999999</v>
      </c>
      <c r="BV107" s="71">
        <v>-261.20730000000003</v>
      </c>
      <c r="BW107" s="75"/>
      <c r="BY107" s="71"/>
      <c r="BZ107" s="71"/>
      <c r="CA107" s="71"/>
      <c r="CC107" s="71"/>
    </row>
    <row r="108" spans="1:81" x14ac:dyDescent="0.2">
      <c r="A108">
        <f t="shared" si="106"/>
        <v>37000</v>
      </c>
      <c r="B108">
        <f t="shared" si="86"/>
        <v>37</v>
      </c>
      <c r="C108">
        <f t="shared" si="55"/>
        <v>2.5093911432989668</v>
      </c>
      <c r="D108">
        <f t="shared" si="56"/>
        <v>1.1609122166188079</v>
      </c>
      <c r="F108">
        <f t="shared" si="57"/>
        <v>3.731840052971789E-3</v>
      </c>
      <c r="G108">
        <f t="shared" si="58"/>
        <v>2.5185059130086916E-2</v>
      </c>
      <c r="H108">
        <f t="shared" si="59"/>
        <v>-3.1164075908699131</v>
      </c>
      <c r="J108">
        <f t="shared" si="60"/>
        <v>15</v>
      </c>
      <c r="M108">
        <f t="shared" si="61"/>
        <v>9.1175652917562577E-2</v>
      </c>
      <c r="N108">
        <f t="shared" si="62"/>
        <v>-1.5707963250000001</v>
      </c>
      <c r="O108">
        <f t="shared" si="63"/>
        <v>11.009166461157458</v>
      </c>
      <c r="P108">
        <f t="shared" si="64"/>
        <v>1.4798375560276218</v>
      </c>
      <c r="Q108">
        <f t="shared" si="65"/>
        <v>15.222983699739396</v>
      </c>
      <c r="R108">
        <f t="shared" si="66"/>
        <v>1.5050588459510281</v>
      </c>
      <c r="S108">
        <f t="shared" si="67"/>
        <v>0.58651926169325286</v>
      </c>
      <c r="T108">
        <f t="shared" si="68"/>
        <v>-0.94404175860039963</v>
      </c>
      <c r="U108">
        <f t="shared" si="69"/>
        <v>0.99999125135005118</v>
      </c>
      <c r="V108">
        <f t="shared" si="70"/>
        <v>-4.1829804459052348E-3</v>
      </c>
      <c r="X108">
        <f t="shared" si="87"/>
        <v>1.9998844792314394</v>
      </c>
      <c r="Y108">
        <f t="shared" si="71"/>
        <v>-85.348941256714738</v>
      </c>
      <c r="Z108">
        <f t="shared" si="88"/>
        <v>94.651058743285262</v>
      </c>
      <c r="AC108">
        <v>1</v>
      </c>
      <c r="AD108">
        <f t="shared" si="72"/>
        <v>10.963655693676001</v>
      </c>
      <c r="AE108">
        <f t="shared" si="73"/>
        <v>-2.5488071706843548E-6</v>
      </c>
      <c r="AF108">
        <f t="shared" si="74"/>
        <v>6.0932446083810006E-4</v>
      </c>
      <c r="AG108">
        <f t="shared" si="89"/>
        <v>17985.952694919506</v>
      </c>
      <c r="AH108">
        <f t="shared" si="90"/>
        <v>-1716.3970797461307</v>
      </c>
      <c r="AJ108">
        <f t="shared" si="75"/>
        <v>18000</v>
      </c>
      <c r="AK108">
        <f t="shared" si="76"/>
        <v>24856.532374211998</v>
      </c>
      <c r="AL108">
        <v>1</v>
      </c>
      <c r="AM108">
        <f t="shared" si="77"/>
        <v>15.190103117573999</v>
      </c>
      <c r="AN108">
        <f t="shared" si="91"/>
        <v>1706.975919710708</v>
      </c>
      <c r="AO108">
        <f t="shared" si="92"/>
        <v>-1072.6078654093717</v>
      </c>
      <c r="AQ108">
        <f t="shared" si="78"/>
        <v>1.8258170531312763</v>
      </c>
      <c r="AR108">
        <f t="shared" si="79"/>
        <v>-135.11046193171444</v>
      </c>
      <c r="AT108">
        <f t="shared" si="104"/>
        <v>-199064.14315554895</v>
      </c>
      <c r="AU108">
        <f t="shared" si="105"/>
        <v>-2433224.2039506841</v>
      </c>
      <c r="AV108">
        <f t="shared" si="93"/>
        <v>-1.6524253869947485</v>
      </c>
      <c r="AW108">
        <f t="shared" si="94"/>
        <v>-100064.72324717768</v>
      </c>
      <c r="AX108">
        <f t="shared" si="95"/>
        <v>-252352.62284304449</v>
      </c>
      <c r="AY108">
        <f t="shared" si="103"/>
        <v>-1.9483054820543011</v>
      </c>
      <c r="BA108">
        <f t="shared" si="80"/>
        <v>8.9931585005337116</v>
      </c>
      <c r="BB108">
        <f t="shared" si="96"/>
        <v>19.078244954670982</v>
      </c>
      <c r="BC108">
        <f t="shared" si="97"/>
        <v>0.29588009505955259</v>
      </c>
      <c r="BD108">
        <f t="shared" si="81"/>
        <v>-163.04731929178678</v>
      </c>
      <c r="BF108">
        <f t="shared" si="82"/>
        <v>2.0298977841939965</v>
      </c>
      <c r="BG108">
        <f t="shared" si="83"/>
        <v>-95.088951221756716</v>
      </c>
      <c r="BH108">
        <f t="shared" si="98"/>
        <v>84.911048778243284</v>
      </c>
      <c r="BI108">
        <f t="shared" si="99"/>
        <v>84.911048778243284</v>
      </c>
      <c r="BJ108">
        <f t="shared" si="84"/>
        <v>0</v>
      </c>
      <c r="BK108">
        <f t="shared" si="100"/>
        <v>0</v>
      </c>
      <c r="BM108">
        <f t="shared" si="101"/>
        <v>-17.048347170476987</v>
      </c>
      <c r="BN108">
        <f t="shared" si="85"/>
        <v>-112.04163192996994</v>
      </c>
      <c r="BQ108" s="66">
        <f t="shared" si="102"/>
        <v>35.980205754956117</v>
      </c>
      <c r="BR108" s="71"/>
      <c r="BS108" s="71"/>
      <c r="BT108" s="71">
        <v>954.99300000000005</v>
      </c>
      <c r="BU108" s="71">
        <v>15.352499999999999</v>
      </c>
      <c r="BV108" s="71">
        <v>-261.26609999999999</v>
      </c>
      <c r="BW108" s="75"/>
      <c r="BY108" s="71"/>
      <c r="BZ108" s="71"/>
      <c r="CA108" s="71"/>
      <c r="CC108" s="71"/>
    </row>
    <row r="109" spans="1:81" x14ac:dyDescent="0.2">
      <c r="A109">
        <f t="shared" si="106"/>
        <v>37500</v>
      </c>
      <c r="B109">
        <f t="shared" si="86"/>
        <v>37.5</v>
      </c>
      <c r="C109">
        <f t="shared" si="55"/>
        <v>2.5379469220047084</v>
      </c>
      <c r="D109">
        <f t="shared" si="56"/>
        <v>1.1657957695255077</v>
      </c>
      <c r="F109">
        <f t="shared" si="57"/>
        <v>3.6326562393835314E-3</v>
      </c>
      <c r="G109">
        <f t="shared" si="58"/>
        <v>2.4846920737433477E-2</v>
      </c>
      <c r="H109">
        <f t="shared" si="59"/>
        <v>-3.1167457292625667</v>
      </c>
      <c r="J109">
        <f t="shared" si="60"/>
        <v>15</v>
      </c>
      <c r="M109">
        <f t="shared" si="61"/>
        <v>8.9959977545328404E-2</v>
      </c>
      <c r="N109">
        <f t="shared" si="62"/>
        <v>-1.5707963250000001</v>
      </c>
      <c r="O109">
        <f t="shared" si="63"/>
        <v>11.156719619111898</v>
      </c>
      <c r="P109">
        <f t="shared" si="64"/>
        <v>1.4810437935019467</v>
      </c>
      <c r="Q109">
        <f t="shared" si="65"/>
        <v>15.427817883856997</v>
      </c>
      <c r="R109">
        <f t="shared" si="66"/>
        <v>1.5059328727956516</v>
      </c>
      <c r="S109">
        <f t="shared" si="67"/>
        <v>0.58135380344995291</v>
      </c>
      <c r="T109">
        <f t="shared" si="68"/>
        <v>-0.95040476038645694</v>
      </c>
      <c r="U109">
        <f t="shared" si="69"/>
        <v>0.99999101330562623</v>
      </c>
      <c r="V109">
        <f t="shared" si="70"/>
        <v>-4.2395065358861979E-3</v>
      </c>
      <c r="X109">
        <f t="shared" si="87"/>
        <v>1.9025014515500045</v>
      </c>
      <c r="Y109">
        <f t="shared" si="71"/>
        <v>-85.337129676925088</v>
      </c>
      <c r="Z109">
        <f t="shared" si="88"/>
        <v>94.662870323074912</v>
      </c>
      <c r="AC109">
        <v>1</v>
      </c>
      <c r="AD109">
        <f t="shared" si="72"/>
        <v>11.111813203050001</v>
      </c>
      <c r="AE109">
        <f t="shared" si="73"/>
        <v>-2.6181593015156129E-6</v>
      </c>
      <c r="AF109">
        <f t="shared" si="74"/>
        <v>6.1755857517375003E-4</v>
      </c>
      <c r="AG109">
        <f t="shared" si="89"/>
        <v>17985.944131934084</v>
      </c>
      <c r="AH109">
        <f t="shared" si="90"/>
        <v>-1695.5315803540816</v>
      </c>
      <c r="AJ109">
        <f t="shared" si="75"/>
        <v>18000</v>
      </c>
      <c r="AK109">
        <f t="shared" si="76"/>
        <v>25192.431460349999</v>
      </c>
      <c r="AL109">
        <v>1</v>
      </c>
      <c r="AM109">
        <f t="shared" si="77"/>
        <v>15.395374781324998</v>
      </c>
      <c r="AN109">
        <f t="shared" si="91"/>
        <v>1705.113337198472</v>
      </c>
      <c r="AO109">
        <f t="shared" si="92"/>
        <v>-1058.4274104562664</v>
      </c>
      <c r="AQ109">
        <f t="shared" si="78"/>
        <v>1.7774617845716316</v>
      </c>
      <c r="AR109">
        <f t="shared" si="79"/>
        <v>-133.30963384287239</v>
      </c>
      <c r="AT109">
        <f t="shared" si="104"/>
        <v>-194061.36579207616</v>
      </c>
      <c r="AU109">
        <f t="shared" si="105"/>
        <v>-2400713.3691351055</v>
      </c>
      <c r="AV109">
        <f t="shared" si="93"/>
        <v>-1.6514558233295868</v>
      </c>
      <c r="AW109">
        <f t="shared" si="94"/>
        <v>-96320.611679985566</v>
      </c>
      <c r="AX109">
        <f t="shared" si="95"/>
        <v>-248693.77926954426</v>
      </c>
      <c r="AY109">
        <f t="shared" si="103"/>
        <v>-1.940311997587981</v>
      </c>
      <c r="BA109">
        <f t="shared" si="80"/>
        <v>9.0310785782894492</v>
      </c>
      <c r="BB109">
        <f t="shared" si="96"/>
        <v>19.114792420725593</v>
      </c>
      <c r="BC109">
        <f t="shared" si="97"/>
        <v>0.28885617425839416</v>
      </c>
      <c r="BD109">
        <f t="shared" si="81"/>
        <v>-163.44976030978717</v>
      </c>
      <c r="BF109">
        <f t="shared" si="82"/>
        <v>1.9307543491328338</v>
      </c>
      <c r="BG109">
        <f t="shared" si="83"/>
        <v>-95.230959171667152</v>
      </c>
      <c r="BH109">
        <f t="shared" si="98"/>
        <v>84.769040828332848</v>
      </c>
      <c r="BI109">
        <f t="shared" si="99"/>
        <v>84.769040828332848</v>
      </c>
      <c r="BJ109">
        <f t="shared" si="84"/>
        <v>0</v>
      </c>
      <c r="BK109">
        <f t="shared" si="100"/>
        <v>0</v>
      </c>
      <c r="BM109">
        <f t="shared" si="101"/>
        <v>-17.184038071592759</v>
      </c>
      <c r="BN109">
        <f t="shared" si="85"/>
        <v>-111.78119886188</v>
      </c>
      <c r="BQ109" s="66">
        <f t="shared" si="102"/>
        <v>36.016753221010724</v>
      </c>
      <c r="BR109" s="71"/>
      <c r="BS109" s="71"/>
      <c r="BT109" s="71">
        <v>977.23699999999997</v>
      </c>
      <c r="BU109" s="71">
        <v>15.0807</v>
      </c>
      <c r="BV109" s="71">
        <v>-260.93240000000003</v>
      </c>
      <c r="BW109" s="75"/>
      <c r="BY109" s="71"/>
      <c r="BZ109" s="71"/>
      <c r="CA109" s="71"/>
      <c r="CC109" s="71"/>
    </row>
    <row r="110" spans="1:81" x14ac:dyDescent="0.2">
      <c r="A110">
        <f t="shared" si="106"/>
        <v>38000</v>
      </c>
      <c r="B110">
        <f t="shared" si="86"/>
        <v>38</v>
      </c>
      <c r="C110">
        <f t="shared" si="55"/>
        <v>2.5665618807286399</v>
      </c>
      <c r="D110">
        <f t="shared" si="56"/>
        <v>1.1705705393676007</v>
      </c>
      <c r="F110">
        <f t="shared" si="57"/>
        <v>3.5373788048971518E-3</v>
      </c>
      <c r="G110">
        <f t="shared" si="58"/>
        <v>2.4517771566920706E-2</v>
      </c>
      <c r="H110">
        <f t="shared" si="59"/>
        <v>-3.1170748784330793</v>
      </c>
      <c r="J110">
        <f t="shared" si="60"/>
        <v>15</v>
      </c>
      <c r="M110">
        <f t="shared" si="61"/>
        <v>8.8776293630258296E-2</v>
      </c>
      <c r="N110">
        <f t="shared" si="62"/>
        <v>-1.5707963250000001</v>
      </c>
      <c r="O110">
        <f t="shared" si="63"/>
        <v>11.304288586401459</v>
      </c>
      <c r="P110">
        <f t="shared" si="64"/>
        <v>1.4822185396064078</v>
      </c>
      <c r="Q110">
        <f t="shared" si="65"/>
        <v>15.632663544779003</v>
      </c>
      <c r="R110">
        <f t="shared" si="66"/>
        <v>1.5067839943133059</v>
      </c>
      <c r="S110">
        <f t="shared" si="67"/>
        <v>0.57625581168817097</v>
      </c>
      <c r="T110">
        <f t="shared" si="68"/>
        <v>-0.95665641508919996</v>
      </c>
      <c r="U110">
        <f t="shared" si="69"/>
        <v>0.99999077206614773</v>
      </c>
      <c r="V110">
        <f t="shared" si="70"/>
        <v>-4.2960325987748786E-3</v>
      </c>
      <c r="X110">
        <f t="shared" si="87"/>
        <v>1.8061821037870742</v>
      </c>
      <c r="Y110">
        <f t="shared" si="71"/>
        <v>-85.327772844793586</v>
      </c>
      <c r="Z110">
        <f t="shared" si="88"/>
        <v>94.672227155206414</v>
      </c>
      <c r="AC110">
        <v>1</v>
      </c>
      <c r="AD110">
        <f t="shared" si="72"/>
        <v>11.259970712424002</v>
      </c>
      <c r="AE110">
        <f t="shared" si="73"/>
        <v>-2.6884423334318543E-6</v>
      </c>
      <c r="AF110">
        <f t="shared" si="74"/>
        <v>6.2579268950940011E-4</v>
      </c>
      <c r="AG110">
        <f t="shared" si="89"/>
        <v>17985.935454017577</v>
      </c>
      <c r="AH110">
        <f t="shared" si="90"/>
        <v>-1675.2419257291535</v>
      </c>
      <c r="AJ110">
        <f t="shared" si="75"/>
        <v>18000</v>
      </c>
      <c r="AK110">
        <f t="shared" si="76"/>
        <v>25528.330546488</v>
      </c>
      <c r="AL110">
        <v>1</v>
      </c>
      <c r="AM110">
        <f t="shared" si="77"/>
        <v>15.600646445075999</v>
      </c>
      <c r="AN110">
        <f t="shared" si="91"/>
        <v>1703.3233917187081</v>
      </c>
      <c r="AO110">
        <f t="shared" si="92"/>
        <v>-1044.6154693432579</v>
      </c>
      <c r="AQ110">
        <f t="shared" si="78"/>
        <v>1.7310022503029254</v>
      </c>
      <c r="AR110">
        <f t="shared" si="79"/>
        <v>-131.55617102302233</v>
      </c>
      <c r="AT110">
        <f t="shared" si="104"/>
        <v>-189254.71854145417</v>
      </c>
      <c r="AU110">
        <f t="shared" si="105"/>
        <v>-2369060.6481410163</v>
      </c>
      <c r="AV110">
        <f t="shared" si="93"/>
        <v>-1.6505130111094044</v>
      </c>
      <c r="AW110">
        <f t="shared" si="94"/>
        <v>-92722.292364749082</v>
      </c>
      <c r="AX110">
        <f t="shared" si="95"/>
        <v>-245142.77288585814</v>
      </c>
      <c r="AY110">
        <f t="shared" si="103"/>
        <v>-1.9324026946262789</v>
      </c>
      <c r="BA110">
        <f t="shared" si="80"/>
        <v>9.0678265828537512</v>
      </c>
      <c r="BB110">
        <f t="shared" si="96"/>
        <v>19.150064117863639</v>
      </c>
      <c r="BC110">
        <f t="shared" si="97"/>
        <v>0.28188968351687449</v>
      </c>
      <c r="BD110">
        <f t="shared" si="81"/>
        <v>-163.84891082774931</v>
      </c>
      <c r="BF110">
        <f t="shared" si="82"/>
        <v>1.8325554794598435</v>
      </c>
      <c r="BG110">
        <f t="shared" si="83"/>
        <v>-95.375394387540567</v>
      </c>
      <c r="BH110">
        <f t="shared" si="98"/>
        <v>84.624605612459433</v>
      </c>
      <c r="BI110">
        <f t="shared" si="99"/>
        <v>84.624605612459433</v>
      </c>
      <c r="BJ110">
        <f t="shared" si="84"/>
        <v>0</v>
      </c>
      <c r="BK110">
        <f t="shared" si="100"/>
        <v>0</v>
      </c>
      <c r="BM110">
        <f t="shared" si="101"/>
        <v>-17.317508638403794</v>
      </c>
      <c r="BN110">
        <f t="shared" si="85"/>
        <v>-111.52648355979127</v>
      </c>
      <c r="BQ110" s="66">
        <f t="shared" si="102"/>
        <v>36.052024918148774</v>
      </c>
      <c r="BR110" s="71"/>
      <c r="BS110" s="71"/>
      <c r="BT110" s="71">
        <v>1000</v>
      </c>
      <c r="BU110" s="71">
        <v>14.883800000000001</v>
      </c>
      <c r="BV110" s="71">
        <v>-260.5154</v>
      </c>
      <c r="BW110" s="75"/>
      <c r="BY110" s="71"/>
      <c r="BZ110" s="71"/>
      <c r="CA110" s="71"/>
      <c r="CC110" s="71"/>
    </row>
    <row r="111" spans="1:81" x14ac:dyDescent="0.2">
      <c r="A111">
        <f t="shared" si="106"/>
        <v>38500</v>
      </c>
      <c r="B111">
        <f t="shared" si="86"/>
        <v>38.5</v>
      </c>
      <c r="C111">
        <f t="shared" si="55"/>
        <v>2.5952340619211536</v>
      </c>
      <c r="D111">
        <f t="shared" si="56"/>
        <v>1.1752399102699878</v>
      </c>
      <c r="F111">
        <f t="shared" si="57"/>
        <v>3.4458050623232743E-3</v>
      </c>
      <c r="G111">
        <f t="shared" si="58"/>
        <v>2.4197256737579702E-2</v>
      </c>
      <c r="H111">
        <f t="shared" si="59"/>
        <v>-3.1173953932624205</v>
      </c>
      <c r="J111">
        <f t="shared" si="60"/>
        <v>15</v>
      </c>
      <c r="M111">
        <f t="shared" si="61"/>
        <v>8.7623354751943258E-2</v>
      </c>
      <c r="N111">
        <f t="shared" si="62"/>
        <v>-1.5707963250000001</v>
      </c>
      <c r="O111">
        <f t="shared" si="63"/>
        <v>11.451872751868319</v>
      </c>
      <c r="P111">
        <f t="shared" si="64"/>
        <v>1.4833630085541258</v>
      </c>
      <c r="Q111">
        <f t="shared" si="65"/>
        <v>15.837520237175557</v>
      </c>
      <c r="R111">
        <f t="shared" si="66"/>
        <v>1.5076130980804234</v>
      </c>
      <c r="S111">
        <f t="shared" si="67"/>
        <v>0.57122470707139184</v>
      </c>
      <c r="T111">
        <f t="shared" si="68"/>
        <v>-0.9627991440118524</v>
      </c>
      <c r="U111">
        <f t="shared" si="69"/>
        <v>0.99999052763162222</v>
      </c>
      <c r="V111">
        <f t="shared" si="70"/>
        <v>-4.3525586342100736E-3</v>
      </c>
      <c r="X111">
        <f t="shared" si="87"/>
        <v>1.7108987852807633</v>
      </c>
      <c r="Y111">
        <f t="shared" si="71"/>
        <v>-85.320715504191881</v>
      </c>
      <c r="Z111">
        <f t="shared" si="88"/>
        <v>94.679284495808119</v>
      </c>
      <c r="AC111">
        <v>1</v>
      </c>
      <c r="AD111">
        <f t="shared" si="72"/>
        <v>11.408128221798002</v>
      </c>
      <c r="AE111">
        <f t="shared" si="73"/>
        <v>-2.7596562664330795E-6</v>
      </c>
      <c r="AF111">
        <f t="shared" si="74"/>
        <v>6.3402680384504998E-4</v>
      </c>
      <c r="AG111">
        <f t="shared" si="89"/>
        <v>17985.926661170321</v>
      </c>
      <c r="AH111">
        <f t="shared" si="90"/>
        <v>-1655.5056802844965</v>
      </c>
      <c r="AJ111">
        <f t="shared" si="75"/>
        <v>18000</v>
      </c>
      <c r="AK111">
        <f t="shared" si="76"/>
        <v>25864.229632625997</v>
      </c>
      <c r="AL111">
        <v>1</v>
      </c>
      <c r="AM111">
        <f t="shared" si="77"/>
        <v>15.805918108827001</v>
      </c>
      <c r="AN111">
        <f t="shared" si="91"/>
        <v>1701.6023597875981</v>
      </c>
      <c r="AO111">
        <f t="shared" si="92"/>
        <v>-1031.1579199635592</v>
      </c>
      <c r="AQ111">
        <f t="shared" si="78"/>
        <v>1.6863406408094435</v>
      </c>
      <c r="AR111">
        <f t="shared" si="79"/>
        <v>-129.84822934232716</v>
      </c>
      <c r="AT111">
        <f t="shared" si="104"/>
        <v>-184634.08215975703</v>
      </c>
      <c r="AU111">
        <f t="shared" si="105"/>
        <v>-2338232.4765436747</v>
      </c>
      <c r="AV111">
        <f t="shared" si="93"/>
        <v>-1.6495959207497051</v>
      </c>
      <c r="AW111">
        <f t="shared" si="94"/>
        <v>-89262.305816050488</v>
      </c>
      <c r="AX111">
        <f t="shared" si="95"/>
        <v>-241694.82099205896</v>
      </c>
      <c r="AY111">
        <f t="shared" si="103"/>
        <v>-1.9245764468241973</v>
      </c>
      <c r="BA111">
        <f t="shared" si="80"/>
        <v>9.1034340315680584</v>
      </c>
      <c r="BB111">
        <f t="shared" si="96"/>
        <v>19.18410498847275</v>
      </c>
      <c r="BC111">
        <f t="shared" si="97"/>
        <v>0.27498052607449219</v>
      </c>
      <c r="BD111">
        <f t="shared" si="81"/>
        <v>-164.24477638964154</v>
      </c>
      <c r="BF111">
        <f t="shared" si="82"/>
        <v>1.7352749154726643</v>
      </c>
      <c r="BG111">
        <f t="shared" si="83"/>
        <v>-95.522088850452732</v>
      </c>
      <c r="BH111">
        <f t="shared" si="98"/>
        <v>84.477911149547268</v>
      </c>
      <c r="BI111">
        <f t="shared" si="99"/>
        <v>84.477911149547268</v>
      </c>
      <c r="BJ111">
        <f t="shared" si="84"/>
        <v>0</v>
      </c>
      <c r="BK111">
        <f t="shared" si="100"/>
        <v>0</v>
      </c>
      <c r="BM111">
        <f t="shared" si="101"/>
        <v>-17.448830073000085</v>
      </c>
      <c r="BN111">
        <f t="shared" si="85"/>
        <v>-111.2773124608112</v>
      </c>
      <c r="BQ111" s="66">
        <f t="shared" si="102"/>
        <v>36.086065788757885</v>
      </c>
      <c r="BR111" s="71"/>
      <c r="BS111" s="71"/>
      <c r="BT111" s="71">
        <v>1023.293</v>
      </c>
      <c r="BU111" s="71">
        <v>14.7437</v>
      </c>
      <c r="BV111" s="71">
        <v>-261.12389999999999</v>
      </c>
      <c r="BW111" s="75"/>
      <c r="BY111" s="71"/>
      <c r="BZ111" s="71"/>
      <c r="CA111" s="71"/>
      <c r="CC111" s="71"/>
    </row>
    <row r="112" spans="1:81" x14ac:dyDescent="0.2">
      <c r="A112">
        <f t="shared" si="106"/>
        <v>39000</v>
      </c>
      <c r="B112">
        <f t="shared" si="86"/>
        <v>39</v>
      </c>
      <c r="C112">
        <f t="shared" si="55"/>
        <v>2.6239615897631752</v>
      </c>
      <c r="D112">
        <f t="shared" si="56"/>
        <v>1.1798071369883025</v>
      </c>
      <c r="F112">
        <f t="shared" si="57"/>
        <v>3.357745314835469E-3</v>
      </c>
      <c r="G112">
        <f t="shared" si="58"/>
        <v>2.3885039861706772E-2</v>
      </c>
      <c r="H112">
        <f t="shared" si="59"/>
        <v>-3.1177076101382935</v>
      </c>
      <c r="J112">
        <f t="shared" si="60"/>
        <v>15</v>
      </c>
      <c r="M112">
        <f t="shared" si="61"/>
        <v>8.6499978408969613E-2</v>
      </c>
      <c r="N112">
        <f t="shared" si="62"/>
        <v>-1.5707963250000001</v>
      </c>
      <c r="O112">
        <f t="shared" si="63"/>
        <v>11.599471535397187</v>
      </c>
      <c r="P112">
        <f t="shared" si="64"/>
        <v>1.4844783530835541</v>
      </c>
      <c r="Q112">
        <f t="shared" si="65"/>
        <v>16.042387538440355</v>
      </c>
      <c r="R112">
        <f t="shared" si="66"/>
        <v>1.5084210264594826</v>
      </c>
      <c r="S112">
        <f t="shared" si="67"/>
        <v>0.56625987731485872</v>
      </c>
      <c r="T112">
        <f t="shared" si="68"/>
        <v>-0.96883531770977493</v>
      </c>
      <c r="U112">
        <f t="shared" si="69"/>
        <v>0.99999028000205703</v>
      </c>
      <c r="V112">
        <f t="shared" si="70"/>
        <v>-4.409084641830578E-3</v>
      </c>
      <c r="X112">
        <f t="shared" si="87"/>
        <v>1.6166251888924994</v>
      </c>
      <c r="Y112">
        <f t="shared" si="71"/>
        <v>-85.315811956887771</v>
      </c>
      <c r="Z112">
        <f t="shared" si="88"/>
        <v>94.684188043112229</v>
      </c>
      <c r="AC112">
        <v>1</v>
      </c>
      <c r="AD112">
        <f t="shared" si="72"/>
        <v>11.556285731172</v>
      </c>
      <c r="AE112">
        <f t="shared" si="73"/>
        <v>-2.8318011005192874E-6</v>
      </c>
      <c r="AF112">
        <f t="shared" si="74"/>
        <v>6.4226091818069995E-4</v>
      </c>
      <c r="AG112">
        <f t="shared" si="89"/>
        <v>17985.917753392645</v>
      </c>
      <c r="AH112">
        <f t="shared" si="90"/>
        <v>-1636.3015589751749</v>
      </c>
      <c r="AJ112">
        <f t="shared" si="75"/>
        <v>18000</v>
      </c>
      <c r="AK112">
        <f t="shared" si="76"/>
        <v>26200.128718763997</v>
      </c>
      <c r="AL112">
        <v>1</v>
      </c>
      <c r="AM112">
        <f t="shared" si="77"/>
        <v>16.011189772578</v>
      </c>
      <c r="AN112">
        <f t="shared" si="91"/>
        <v>1699.9467531830362</v>
      </c>
      <c r="AO112">
        <f t="shared" si="92"/>
        <v>-1018.0413497274069</v>
      </c>
      <c r="AQ112">
        <f t="shared" si="78"/>
        <v>1.6433853738701725</v>
      </c>
      <c r="AR112">
        <f t="shared" si="79"/>
        <v>-128.18405916187345</v>
      </c>
      <c r="AT112">
        <f t="shared" si="104"/>
        <v>-180189.98167078223</v>
      </c>
      <c r="AU112">
        <f t="shared" si="105"/>
        <v>-2308197.0194307338</v>
      </c>
      <c r="AV112">
        <f t="shared" si="93"/>
        <v>-1.648703574675169</v>
      </c>
      <c r="AW112">
        <f t="shared" si="94"/>
        <v>-85933.662809840214</v>
      </c>
      <c r="AX112">
        <f t="shared" si="95"/>
        <v>-238345.42239584279</v>
      </c>
      <c r="AY112">
        <f t="shared" si="103"/>
        <v>-1.9168321138434665</v>
      </c>
      <c r="BA112">
        <f t="shared" si="80"/>
        <v>9.1379315983303755</v>
      </c>
      <c r="BB112">
        <f t="shared" si="96"/>
        <v>19.216958056711839</v>
      </c>
      <c r="BC112">
        <f t="shared" si="97"/>
        <v>0.26812853916829749</v>
      </c>
      <c r="BD112">
        <f t="shared" si="81"/>
        <v>-164.63736632109399</v>
      </c>
      <c r="BF112">
        <f t="shared" si="82"/>
        <v>1.6388877423260344</v>
      </c>
      <c r="BG112">
        <f t="shared" si="83"/>
        <v>-95.670884675868081</v>
      </c>
      <c r="BH112">
        <f t="shared" si="98"/>
        <v>84.329115324131919</v>
      </c>
      <c r="BI112">
        <f t="shared" si="99"/>
        <v>84.329115324131919</v>
      </c>
      <c r="BJ112">
        <f t="shared" si="84"/>
        <v>0</v>
      </c>
      <c r="BK112">
        <f t="shared" si="100"/>
        <v>0</v>
      </c>
      <c r="BM112">
        <f t="shared" si="101"/>
        <v>-17.578070314385805</v>
      </c>
      <c r="BN112">
        <f t="shared" si="85"/>
        <v>-111.03351835477407</v>
      </c>
      <c r="BQ112" s="66">
        <f t="shared" si="102"/>
        <v>36.118918856996977</v>
      </c>
      <c r="BR112" s="71"/>
      <c r="BS112" s="71"/>
      <c r="BT112" s="71">
        <v>1047.1289999999999</v>
      </c>
      <c r="BU112" s="71">
        <v>14.586600000000001</v>
      </c>
      <c r="BV112" s="71">
        <v>-260.40769999999998</v>
      </c>
      <c r="BW112" s="75"/>
      <c r="BY112" s="71"/>
      <c r="BZ112" s="71"/>
      <c r="CA112" s="71"/>
      <c r="CC112" s="71"/>
    </row>
    <row r="113" spans="1:81" x14ac:dyDescent="0.2">
      <c r="A113">
        <f t="shared" si="106"/>
        <v>39500</v>
      </c>
      <c r="B113">
        <f t="shared" si="86"/>
        <v>39.5</v>
      </c>
      <c r="C113">
        <f t="shared" si="55"/>
        <v>2.6527426661475269</v>
      </c>
      <c r="D113">
        <f t="shared" si="56"/>
        <v>1.1842753504836421</v>
      </c>
      <c r="F113">
        <f t="shared" si="57"/>
        <v>3.2730218685942288E-3</v>
      </c>
      <c r="G113">
        <f t="shared" si="58"/>
        <v>2.3580801852326794E-2</v>
      </c>
      <c r="H113">
        <f t="shared" si="59"/>
        <v>-3.1180118481476735</v>
      </c>
      <c r="J113">
        <f t="shared" si="60"/>
        <v>15</v>
      </c>
      <c r="M113">
        <f t="shared" si="61"/>
        <v>8.5405041973413046E-2</v>
      </c>
      <c r="N113">
        <f t="shared" si="62"/>
        <v>-1.5707963250000001</v>
      </c>
      <c r="O113">
        <f t="shared" si="63"/>
        <v>11.747084385972675</v>
      </c>
      <c r="P113">
        <f t="shared" si="64"/>
        <v>1.4855656682908345</v>
      </c>
      <c r="Q113">
        <f t="shared" si="65"/>
        <v>16.2472650472609</v>
      </c>
      <c r="R113">
        <f t="shared" si="66"/>
        <v>1.5092085794382142</v>
      </c>
      <c r="S113">
        <f t="shared" si="67"/>
        <v>0.5613606807655166</v>
      </c>
      <c r="T113">
        <f t="shared" si="68"/>
        <v>-0.97476725627933924</v>
      </c>
      <c r="U113">
        <f t="shared" si="69"/>
        <v>0.99999002917745905</v>
      </c>
      <c r="V113">
        <f t="shared" si="70"/>
        <v>-4.4656106212751937E-3</v>
      </c>
      <c r="X113">
        <f t="shared" si="87"/>
        <v>1.5233362574840421</v>
      </c>
      <c r="Y113">
        <f t="shared" si="71"/>
        <v>-85.312925445763142</v>
      </c>
      <c r="Z113">
        <f t="shared" si="88"/>
        <v>94.687074554236858</v>
      </c>
      <c r="AC113">
        <v>1</v>
      </c>
      <c r="AD113">
        <f t="shared" si="72"/>
        <v>11.704443240546002</v>
      </c>
      <c r="AE113">
        <f t="shared" si="73"/>
        <v>-2.9048768356904782E-6</v>
      </c>
      <c r="AF113">
        <f t="shared" si="74"/>
        <v>6.5049503251635003E-4</v>
      </c>
      <c r="AG113">
        <f t="shared" si="89"/>
        <v>17985.908730684903</v>
      </c>
      <c r="AH113">
        <f t="shared" si="90"/>
        <v>-1617.6093544790624</v>
      </c>
      <c r="AJ113">
        <f t="shared" si="75"/>
        <v>18000</v>
      </c>
      <c r="AK113">
        <f t="shared" si="76"/>
        <v>26536.027804901998</v>
      </c>
      <c r="AL113">
        <v>1</v>
      </c>
      <c r="AM113">
        <f t="shared" si="77"/>
        <v>16.216461436329002</v>
      </c>
      <c r="AN113">
        <f t="shared" si="91"/>
        <v>1698.3533013523702</v>
      </c>
      <c r="AO113">
        <f t="shared" si="92"/>
        <v>-1005.2530117407605</v>
      </c>
      <c r="AQ113">
        <f t="shared" si="78"/>
        <v>1.6020506247997437</v>
      </c>
      <c r="AR113">
        <f t="shared" si="79"/>
        <v>-126.56199935917975</v>
      </c>
      <c r="AT113">
        <f t="shared" si="104"/>
        <v>-175913.53776539734</v>
      </c>
      <c r="AU113">
        <f t="shared" si="105"/>
        <v>-2278924.0613242332</v>
      </c>
      <c r="AV113">
        <f t="shared" si="93"/>
        <v>-1.6478350440861818</v>
      </c>
      <c r="AW113">
        <f t="shared" si="94"/>
        <v>-82729.809309614691</v>
      </c>
      <c r="AX113">
        <f t="shared" si="95"/>
        <v>-235090.33692104346</v>
      </c>
      <c r="AY113">
        <f t="shared" si="103"/>
        <v>-1.9091685449186209</v>
      </c>
      <c r="BA113">
        <f t="shared" si="80"/>
        <v>9.1713491258722915</v>
      </c>
      <c r="BB113">
        <f t="shared" si="96"/>
        <v>19.248664521087882</v>
      </c>
      <c r="BC113">
        <f t="shared" si="97"/>
        <v>0.26133350083243911</v>
      </c>
      <c r="BD113">
        <f t="shared" si="81"/>
        <v>-165.02669333981316</v>
      </c>
      <c r="BF113">
        <f t="shared" si="82"/>
        <v>1.5433702939474971</v>
      </c>
      <c r="BG113">
        <f t="shared" si="83"/>
        <v>-95.821633472973204</v>
      </c>
      <c r="BH113">
        <f t="shared" si="98"/>
        <v>84.178366527026796</v>
      </c>
      <c r="BI113">
        <f t="shared" si="99"/>
        <v>84.178366527026796</v>
      </c>
      <c r="BJ113">
        <f t="shared" si="84"/>
        <v>0</v>
      </c>
      <c r="BK113">
        <f t="shared" si="100"/>
        <v>0</v>
      </c>
      <c r="BM113">
        <f t="shared" si="101"/>
        <v>-17.705294227140381</v>
      </c>
      <c r="BN113">
        <f t="shared" si="85"/>
        <v>-110.79494013316004</v>
      </c>
      <c r="BQ113" s="66">
        <f t="shared" si="102"/>
        <v>36.15062532137302</v>
      </c>
      <c r="BR113" s="71"/>
      <c r="BS113" s="71"/>
      <c r="BT113" s="71">
        <v>1071.519</v>
      </c>
      <c r="BU113" s="71">
        <v>14.3581</v>
      </c>
      <c r="BV113" s="71">
        <v>-260.5301</v>
      </c>
      <c r="BW113" s="75"/>
      <c r="BY113" s="71"/>
      <c r="BZ113" s="71"/>
      <c r="CA113" s="71"/>
      <c r="CC113" s="71"/>
    </row>
    <row r="114" spans="1:81" x14ac:dyDescent="0.2">
      <c r="A114">
        <f t="shared" si="106"/>
        <v>40000</v>
      </c>
      <c r="B114">
        <f t="shared" si="86"/>
        <v>40</v>
      </c>
      <c r="C114">
        <f t="shared" si="55"/>
        <v>2.6815755668816732</v>
      </c>
      <c r="D114">
        <f t="shared" si="56"/>
        <v>1.1886475632502842</v>
      </c>
      <c r="F114">
        <f t="shared" si="57"/>
        <v>3.1914681319128403E-3</v>
      </c>
      <c r="G114">
        <f t="shared" si="58"/>
        <v>2.3284239822007141E-2</v>
      </c>
      <c r="H114">
        <f t="shared" si="59"/>
        <v>-3.1183084101779932</v>
      </c>
      <c r="J114">
        <f t="shared" si="60"/>
        <v>15</v>
      </c>
      <c r="M114">
        <f t="shared" si="61"/>
        <v>8.4337478948745381E-2</v>
      </c>
      <c r="N114">
        <f t="shared" si="62"/>
        <v>-1.5707963250000001</v>
      </c>
      <c r="O114">
        <f t="shared" si="63"/>
        <v>11.89471077988045</v>
      </c>
      <c r="P114">
        <f t="shared" si="64"/>
        <v>1.4866259951796859</v>
      </c>
      <c r="Q114">
        <f t="shared" si="65"/>
        <v>16.452152382295246</v>
      </c>
      <c r="R114">
        <f t="shared" si="66"/>
        <v>1.5099765172577795</v>
      </c>
      <c r="S114">
        <f t="shared" si="67"/>
        <v>0.55652644973303322</v>
      </c>
      <c r="T114">
        <f t="shared" si="68"/>
        <v>-0.98059722973239993</v>
      </c>
      <c r="U114">
        <f t="shared" si="69"/>
        <v>0.99998977515783583</v>
      </c>
      <c r="V114">
        <f t="shared" si="70"/>
        <v>-4.5221365721827165E-3</v>
      </c>
      <c r="X114">
        <f t="shared" si="87"/>
        <v>1.4310080981560311</v>
      </c>
      <c r="Y114">
        <f t="shared" si="71"/>
        <v>-85.311927580130032</v>
      </c>
      <c r="Z114">
        <f t="shared" si="88"/>
        <v>94.688072419869968</v>
      </c>
      <c r="AC114">
        <v>1</v>
      </c>
      <c r="AD114">
        <f t="shared" si="72"/>
        <v>11.852600749920001</v>
      </c>
      <c r="AE114">
        <f t="shared" si="73"/>
        <v>-2.9788834719466532E-6</v>
      </c>
      <c r="AF114">
        <f t="shared" si="74"/>
        <v>6.58729146852E-4</v>
      </c>
      <c r="AG114">
        <f t="shared" si="89"/>
        <v>17985.899593047434</v>
      </c>
      <c r="AH114">
        <f t="shared" si="90"/>
        <v>-1599.4098698391645</v>
      </c>
      <c r="AJ114">
        <f t="shared" si="75"/>
        <v>18000</v>
      </c>
      <c r="AK114">
        <f t="shared" si="76"/>
        <v>26871.926891039999</v>
      </c>
      <c r="AL114">
        <v>1</v>
      </c>
      <c r="AM114">
        <f t="shared" si="77"/>
        <v>16.421733100080001</v>
      </c>
      <c r="AN114">
        <f t="shared" si="91"/>
        <v>1696.8189353340945</v>
      </c>
      <c r="AO114">
        <f t="shared" si="92"/>
        <v>-992.78078417840584</v>
      </c>
      <c r="AQ114">
        <f t="shared" si="78"/>
        <v>1.562255897516013</v>
      </c>
      <c r="AR114">
        <f t="shared" si="79"/>
        <v>-124.98047180128106</v>
      </c>
      <c r="AT114">
        <f t="shared" si="104"/>
        <v>-171796.42242475509</v>
      </c>
      <c r="AU114">
        <f t="shared" si="105"/>
        <v>-2250384.9044112386</v>
      </c>
      <c r="AV114">
        <f t="shared" si="93"/>
        <v>-1.6469894459629284</v>
      </c>
      <c r="AW114">
        <f t="shared" si="94"/>
        <v>-79644.594402052084</v>
      </c>
      <c r="AX114">
        <f t="shared" si="95"/>
        <v>-231925.56668018459</v>
      </c>
      <c r="AY114">
        <f t="shared" si="103"/>
        <v>-1.9015845820706563</v>
      </c>
      <c r="BA114">
        <f t="shared" si="80"/>
        <v>9.203715639137636</v>
      </c>
      <c r="BB114">
        <f t="shared" si="96"/>
        <v>19.279263842128628</v>
      </c>
      <c r="BC114">
        <f t="shared" si="97"/>
        <v>0.25459513610772788</v>
      </c>
      <c r="BD114">
        <f t="shared" si="81"/>
        <v>-165.41277319980011</v>
      </c>
      <c r="BF114">
        <f t="shared" si="82"/>
        <v>1.4487000649727411</v>
      </c>
      <c r="BG114">
        <f t="shared" si="83"/>
        <v>-95.974195746732647</v>
      </c>
      <c r="BH114">
        <f t="shared" si="98"/>
        <v>84.025804253267353</v>
      </c>
      <c r="BI114">
        <f t="shared" si="99"/>
        <v>84.025804253267353</v>
      </c>
      <c r="BJ114">
        <f t="shared" si="84"/>
        <v>0</v>
      </c>
      <c r="BK114">
        <f t="shared" si="100"/>
        <v>0</v>
      </c>
      <c r="BM114">
        <f t="shared" si="101"/>
        <v>-17.830563777155884</v>
      </c>
      <c r="BN114">
        <f t="shared" si="85"/>
        <v>-110.56142254693255</v>
      </c>
      <c r="BQ114" s="66">
        <f t="shared" si="102"/>
        <v>36.181224642413767</v>
      </c>
      <c r="BR114" s="71"/>
      <c r="BS114" s="71"/>
      <c r="BT114" s="71">
        <v>1096.4780000000001</v>
      </c>
      <c r="BU114" s="71">
        <v>14.1501</v>
      </c>
      <c r="BV114" s="71">
        <v>-260.5471</v>
      </c>
      <c r="BW114" s="75"/>
      <c r="BY114" s="71"/>
      <c r="BZ114" s="71"/>
      <c r="CA114" s="71"/>
      <c r="CC114" s="71"/>
    </row>
    <row r="115" spans="1:81" x14ac:dyDescent="0.2">
      <c r="A115">
        <f t="shared" si="106"/>
        <v>40500</v>
      </c>
      <c r="B115">
        <f t="shared" si="86"/>
        <v>40.5</v>
      </c>
      <c r="C115">
        <f t="shared" si="55"/>
        <v>2.7104586380987863</v>
      </c>
      <c r="D115">
        <f t="shared" si="56"/>
        <v>1.1929266744056912</v>
      </c>
      <c r="F115">
        <f t="shared" si="57"/>
        <v>3.1129277923957915E-3</v>
      </c>
      <c r="G115">
        <f t="shared" si="58"/>
        <v>2.2995066064940912E-2</v>
      </c>
      <c r="H115">
        <f t="shared" si="59"/>
        <v>-3.1185975839350593</v>
      </c>
      <c r="J115">
        <f t="shared" si="60"/>
        <v>15</v>
      </c>
      <c r="M115">
        <f t="shared" si="61"/>
        <v>8.3296275504933709E-2</v>
      </c>
      <c r="N115">
        <f t="shared" si="62"/>
        <v>-1.5707963250000001</v>
      </c>
      <c r="O115">
        <f t="shared" si="63"/>
        <v>12.042350219040019</v>
      </c>
      <c r="P115">
        <f t="shared" si="64"/>
        <v>1.487660323952761</v>
      </c>
      <c r="Q115">
        <f t="shared" si="65"/>
        <v>16.657049180946149</v>
      </c>
      <c r="R115">
        <f t="shared" si="66"/>
        <v>1.5107255628479774</v>
      </c>
      <c r="S115">
        <f t="shared" si="67"/>
        <v>0.5517564935858329</v>
      </c>
      <c r="T115">
        <f t="shared" si="68"/>
        <v>-0.9863274584466496</v>
      </c>
      <c r="U115">
        <f t="shared" si="69"/>
        <v>0.99998951794319446</v>
      </c>
      <c r="V115">
        <f t="shared" si="70"/>
        <v>-4.5786624941919494E-3</v>
      </c>
      <c r="X115">
        <f t="shared" si="87"/>
        <v>1.339617903537986</v>
      </c>
      <c r="Y115">
        <f t="shared" si="71"/>
        <v>-85.312697800112574</v>
      </c>
      <c r="Z115">
        <f t="shared" si="88"/>
        <v>94.687302199887426</v>
      </c>
      <c r="AC115">
        <v>1</v>
      </c>
      <c r="AD115">
        <f t="shared" si="72"/>
        <v>12.000758259294001</v>
      </c>
      <c r="AE115">
        <f t="shared" si="73"/>
        <v>-3.053821009287811E-6</v>
      </c>
      <c r="AF115">
        <f t="shared" si="74"/>
        <v>6.6696326118765008E-4</v>
      </c>
      <c r="AG115">
        <f t="shared" si="89"/>
        <v>17985.890340480586</v>
      </c>
      <c r="AH115">
        <f t="shared" si="90"/>
        <v>-1581.684856095399</v>
      </c>
      <c r="AJ115">
        <f t="shared" si="75"/>
        <v>18000</v>
      </c>
      <c r="AK115">
        <f t="shared" si="76"/>
        <v>27207.825977177996</v>
      </c>
      <c r="AL115">
        <v>1</v>
      </c>
      <c r="AM115">
        <f t="shared" si="77"/>
        <v>16.627004763831</v>
      </c>
      <c r="AN115">
        <f t="shared" si="91"/>
        <v>1695.3407730465694</v>
      </c>
      <c r="AO115">
        <f t="shared" si="92"/>
        <v>-980.61313258424184</v>
      </c>
      <c r="AQ115">
        <f t="shared" si="78"/>
        <v>1.5239256324291375</v>
      </c>
      <c r="AR115">
        <f t="shared" si="79"/>
        <v>-123.43797622676013</v>
      </c>
      <c r="AT115">
        <f t="shared" si="104"/>
        <v>-167830.81835301238</v>
      </c>
      <c r="AU115">
        <f t="shared" si="105"/>
        <v>-2222552.2743599857</v>
      </c>
      <c r="AV115">
        <f t="shared" si="93"/>
        <v>-1.6461659402869995</v>
      </c>
      <c r="AW115">
        <f t="shared" si="94"/>
        <v>-76672.24095104984</v>
      </c>
      <c r="AX115">
        <f t="shared" si="95"/>
        <v>-228847.33893686111</v>
      </c>
      <c r="AY115">
        <f t="shared" si="103"/>
        <v>-1.894079062999362</v>
      </c>
      <c r="BA115">
        <f t="shared" si="80"/>
        <v>9.235059359591574</v>
      </c>
      <c r="BB115">
        <f t="shared" si="96"/>
        <v>19.308793825433636</v>
      </c>
      <c r="BC115">
        <f t="shared" si="97"/>
        <v>0.24791312271236254</v>
      </c>
      <c r="BD115">
        <f t="shared" si="81"/>
        <v>-165.7956243664419</v>
      </c>
      <c r="BF115">
        <f t="shared" si="82"/>
        <v>1.354855629970996</v>
      </c>
      <c r="BG115">
        <f t="shared" si="83"/>
        <v>-96.128440339666867</v>
      </c>
      <c r="BH115">
        <f t="shared" si="98"/>
        <v>83.871559660333133</v>
      </c>
      <c r="BI115">
        <f t="shared" si="99"/>
        <v>83.871559660333133</v>
      </c>
      <c r="BJ115">
        <f t="shared" si="84"/>
        <v>0</v>
      </c>
      <c r="BK115">
        <f t="shared" si="100"/>
        <v>0</v>
      </c>
      <c r="BM115">
        <f t="shared" si="101"/>
        <v>-17.953938195462641</v>
      </c>
      <c r="BN115">
        <f t="shared" si="85"/>
        <v>-110.332815973225</v>
      </c>
      <c r="BQ115" s="66">
        <f t="shared" si="102"/>
        <v>36.210754625718771</v>
      </c>
      <c r="BR115" s="71"/>
      <c r="BS115" s="71"/>
      <c r="BT115" s="71">
        <v>1122.018</v>
      </c>
      <c r="BU115" s="71">
        <v>13.9679</v>
      </c>
      <c r="BV115" s="71">
        <v>-259.93099999999998</v>
      </c>
      <c r="BW115" s="75"/>
      <c r="BY115" s="71"/>
      <c r="BZ115" s="71"/>
      <c r="CA115" s="71"/>
      <c r="CC115" s="71"/>
    </row>
    <row r="116" spans="1:81" x14ac:dyDescent="0.2">
      <c r="A116">
        <f t="shared" si="106"/>
        <v>41000</v>
      </c>
      <c r="B116">
        <f t="shared" si="86"/>
        <v>41</v>
      </c>
      <c r="C116">
        <f t="shared" si="55"/>
        <v>2.7393902928648495</v>
      </c>
      <c r="D116">
        <f t="shared" si="56"/>
        <v>1.1971154745520782</v>
      </c>
      <c r="F116">
        <f t="shared" si="57"/>
        <v>3.0372540644241467E-3</v>
      </c>
      <c r="G116">
        <f t="shared" si="58"/>
        <v>2.2713007115026999E-2</v>
      </c>
      <c r="H116">
        <f t="shared" si="59"/>
        <v>-3.118879642884973</v>
      </c>
      <c r="J116">
        <f t="shared" si="60"/>
        <v>15</v>
      </c>
      <c r="M116">
        <f t="shared" si="61"/>
        <v>8.2280467267068669E-2</v>
      </c>
      <c r="N116">
        <f t="shared" si="62"/>
        <v>-1.5707963250000001</v>
      </c>
      <c r="O116">
        <f t="shared" si="63"/>
        <v>12.190002229457958</v>
      </c>
      <c r="P116">
        <f t="shared" si="64"/>
        <v>1.4886695970661254</v>
      </c>
      <c r="Q116">
        <f t="shared" si="65"/>
        <v>16.861955098224307</v>
      </c>
      <c r="R116">
        <f t="shared" si="66"/>
        <v>1.5114564040857879</v>
      </c>
      <c r="S116">
        <f t="shared" si="67"/>
        <v>0.54705010162557444</v>
      </c>
      <c r="T116">
        <f t="shared" si="68"/>
        <v>-0.99196011368292414</v>
      </c>
      <c r="U116">
        <f t="shared" si="69"/>
        <v>0.99998925753354218</v>
      </c>
      <c r="V116">
        <f t="shared" si="70"/>
        <v>-4.6351883869416915E-3</v>
      </c>
      <c r="X116">
        <f t="shared" si="87"/>
        <v>1.2491438794890701</v>
      </c>
      <c r="Y116">
        <f t="shared" si="71"/>
        <v>-85.315122877293632</v>
      </c>
      <c r="Z116">
        <f t="shared" si="88"/>
        <v>94.684877122706368</v>
      </c>
      <c r="AC116">
        <v>1</v>
      </c>
      <c r="AD116">
        <f t="shared" si="72"/>
        <v>12.148915768668003</v>
      </c>
      <c r="AE116">
        <f t="shared" si="73"/>
        <v>-3.1296894477139524E-6</v>
      </c>
      <c r="AF116">
        <f t="shared" si="74"/>
        <v>6.7519737552329995E-4</v>
      </c>
      <c r="AG116">
        <f t="shared" si="89"/>
        <v>17985.88097298472</v>
      </c>
      <c r="AH116">
        <f t="shared" si="90"/>
        <v>-1564.4169544799104</v>
      </c>
      <c r="AJ116">
        <f t="shared" si="75"/>
        <v>18000</v>
      </c>
      <c r="AK116">
        <f t="shared" si="76"/>
        <v>27543.725063315997</v>
      </c>
      <c r="AL116">
        <v>1</v>
      </c>
      <c r="AM116">
        <f t="shared" si="77"/>
        <v>16.832276427582002</v>
      </c>
      <c r="AN116">
        <f t="shared" si="91"/>
        <v>1693.9161058127024</v>
      </c>
      <c r="AO116">
        <f t="shared" si="92"/>
        <v>-968.73907485665666</v>
      </c>
      <c r="AQ116">
        <f t="shared" si="78"/>
        <v>1.486988847583643</v>
      </c>
      <c r="AR116">
        <f t="shared" si="79"/>
        <v>-121.93308550185874</v>
      </c>
      <c r="AT116">
        <f t="shared" si="104"/>
        <v>-164009.38185036124</v>
      </c>
      <c r="AU116">
        <f t="shared" si="105"/>
        <v>-2195400.2330694823</v>
      </c>
      <c r="AV116">
        <f t="shared" si="93"/>
        <v>-1.6453637274623576</v>
      </c>
      <c r="AW116">
        <f t="shared" si="94"/>
        <v>-73807.318710344101</v>
      </c>
      <c r="AX116">
        <f t="shared" si="95"/>
        <v>-225852.09040305292</v>
      </c>
      <c r="AY116">
        <f t="shared" si="103"/>
        <v>-1.8866508236826469</v>
      </c>
      <c r="BA116">
        <f t="shared" si="80"/>
        <v>9.2654077203055358</v>
      </c>
      <c r="BB116">
        <f t="shared" si="96"/>
        <v>19.337290700368349</v>
      </c>
      <c r="BC116">
        <f t="shared" si="97"/>
        <v>0.24128709622028932</v>
      </c>
      <c r="BD116">
        <f t="shared" si="81"/>
        <v>-166.17526771981335</v>
      </c>
      <c r="BF116">
        <f t="shared" si="82"/>
        <v>1.2618165693019521</v>
      </c>
      <c r="BG116">
        <f t="shared" si="83"/>
        <v>-96.284243910574773</v>
      </c>
      <c r="BH116">
        <f t="shared" si="98"/>
        <v>83.715756089425227</v>
      </c>
      <c r="BI116">
        <f t="shared" si="99"/>
        <v>83.715756089425227</v>
      </c>
      <c r="BJ116">
        <f t="shared" si="84"/>
        <v>0</v>
      </c>
      <c r="BK116">
        <f t="shared" si="100"/>
        <v>0</v>
      </c>
      <c r="BM116">
        <f t="shared" si="101"/>
        <v>-18.075474131066397</v>
      </c>
      <c r="BN116">
        <f t="shared" si="85"/>
        <v>-110.10897619076141</v>
      </c>
      <c r="BQ116" s="66">
        <f t="shared" si="102"/>
        <v>36.239251500653481</v>
      </c>
      <c r="BR116" s="71"/>
      <c r="BS116" s="71"/>
      <c r="BT116" s="71">
        <v>1148.154</v>
      </c>
      <c r="BU116" s="71">
        <v>13.7508</v>
      </c>
      <c r="BV116" s="71">
        <v>-259.94799999999998</v>
      </c>
      <c r="BW116" s="75"/>
      <c r="BY116" s="71"/>
      <c r="BZ116" s="71"/>
      <c r="CA116" s="71"/>
      <c r="CC116" s="71"/>
    </row>
    <row r="117" spans="1:81" x14ac:dyDescent="0.2">
      <c r="A117">
        <f t="shared" si="106"/>
        <v>41500</v>
      </c>
      <c r="B117">
        <f t="shared" si="86"/>
        <v>41.5</v>
      </c>
      <c r="C117">
        <f t="shared" si="55"/>
        <v>2.7683690079702683</v>
      </c>
      <c r="D117">
        <f t="shared" si="56"/>
        <v>1.2012166504187385</v>
      </c>
      <c r="F117">
        <f t="shared" si="57"/>
        <v>2.9643090001918414E-3</v>
      </c>
      <c r="G117">
        <f t="shared" si="58"/>
        <v>2.243780287339292E-2</v>
      </c>
      <c r="H117">
        <f t="shared" si="59"/>
        <v>-3.1191548471266071</v>
      </c>
      <c r="J117">
        <f t="shared" si="60"/>
        <v>15</v>
      </c>
      <c r="M117">
        <f t="shared" si="61"/>
        <v>8.1289136336140128E-2</v>
      </c>
      <c r="N117">
        <f t="shared" si="62"/>
        <v>-1.5707963250000001</v>
      </c>
      <c r="O117">
        <f t="shared" si="63"/>
        <v>12.337666359791655</v>
      </c>
      <c r="P117">
        <f t="shared" si="64"/>
        <v>1.4896547120664636</v>
      </c>
      <c r="Q117">
        <f t="shared" si="65"/>
        <v>17.066869805693273</v>
      </c>
      <c r="R117">
        <f t="shared" si="66"/>
        <v>1.5121696958920094</v>
      </c>
      <c r="S117">
        <f t="shared" si="67"/>
        <v>0.54240654575298508</v>
      </c>
      <c r="T117">
        <f t="shared" si="68"/>
        <v>-0.99749731816125464</v>
      </c>
      <c r="U117">
        <f t="shared" si="69"/>
        <v>0.99998899392888685</v>
      </c>
      <c r="V117">
        <f t="shared" si="70"/>
        <v>-4.6917142500707467E-3</v>
      </c>
      <c r="X117">
        <f t="shared" si="87"/>
        <v>1.1595651786316197</v>
      </c>
      <c r="Y117">
        <f t="shared" si="71"/>
        <v>-85.319096449035101</v>
      </c>
      <c r="Z117">
        <f t="shared" si="88"/>
        <v>94.680903550964899</v>
      </c>
      <c r="AC117">
        <v>1</v>
      </c>
      <c r="AD117">
        <f t="shared" si="72"/>
        <v>12.297073278042001</v>
      </c>
      <c r="AE117">
        <f t="shared" si="73"/>
        <v>-3.2064887872250772E-6</v>
      </c>
      <c r="AF117">
        <f t="shared" si="74"/>
        <v>6.8343148985895003E-4</v>
      </c>
      <c r="AG117">
        <f t="shared" si="89"/>
        <v>17985.871490560192</v>
      </c>
      <c r="AH117">
        <f t="shared" si="90"/>
        <v>-1547.5896427910279</v>
      </c>
      <c r="AJ117">
        <f t="shared" si="75"/>
        <v>18000</v>
      </c>
      <c r="AK117">
        <f t="shared" si="76"/>
        <v>27879.624149453997</v>
      </c>
      <c r="AL117">
        <v>1</v>
      </c>
      <c r="AM117">
        <f t="shared" si="77"/>
        <v>17.037548091333001</v>
      </c>
      <c r="AN117">
        <f t="shared" si="91"/>
        <v>1692.5423860034575</v>
      </c>
      <c r="AO117">
        <f t="shared" si="92"/>
        <v>-957.14814869940983</v>
      </c>
      <c r="AQ117">
        <f t="shared" si="78"/>
        <v>1.4513788098693758</v>
      </c>
      <c r="AR117">
        <f t="shared" si="79"/>
        <v>-120.4644412191582</v>
      </c>
      <c r="AT117">
        <f t="shared" si="104"/>
        <v>-160325.20879694502</v>
      </c>
      <c r="AU117">
        <f t="shared" si="105"/>
        <v>-2168904.097763842</v>
      </c>
      <c r="AV117">
        <f t="shared" si="93"/>
        <v>-1.6445820459192142</v>
      </c>
      <c r="AW117">
        <f t="shared" si="94"/>
        <v>-71044.719662455391</v>
      </c>
      <c r="AX117">
        <f t="shared" si="95"/>
        <v>-222936.45283341911</v>
      </c>
      <c r="AY117">
        <f t="shared" si="103"/>
        <v>-1.8792987007086868</v>
      </c>
      <c r="BA117">
        <f t="shared" si="80"/>
        <v>9.2947873816785833</v>
      </c>
      <c r="BB117">
        <f t="shared" si="96"/>
        <v>19.36478919464923</v>
      </c>
      <c r="BC117">
        <f t="shared" si="97"/>
        <v>0.23471665478947257</v>
      </c>
      <c r="BD117">
        <f t="shared" si="81"/>
        <v>-166.55172628376724</v>
      </c>
      <c r="BF117">
        <f t="shared" si="82"/>
        <v>1.1695634010089382</v>
      </c>
      <c r="BG117">
        <f t="shared" si="83"/>
        <v>-96.441490447627331</v>
      </c>
      <c r="BH117">
        <f t="shared" si="98"/>
        <v>83.558509552372669</v>
      </c>
      <c r="BI117">
        <f t="shared" si="99"/>
        <v>83.558509552372669</v>
      </c>
      <c r="BJ117">
        <f t="shared" si="84"/>
        <v>0</v>
      </c>
      <c r="BK117">
        <f t="shared" si="100"/>
        <v>0</v>
      </c>
      <c r="BM117">
        <f t="shared" si="101"/>
        <v>-18.195225793640294</v>
      </c>
      <c r="BN117">
        <f t="shared" si="85"/>
        <v>-109.88976416386011</v>
      </c>
      <c r="BQ117" s="66">
        <f t="shared" si="102"/>
        <v>36.266749994934372</v>
      </c>
      <c r="BR117" s="71"/>
      <c r="BS117" s="71"/>
      <c r="BT117" s="71">
        <v>1174.8979999999999</v>
      </c>
      <c r="BU117" s="71">
        <v>13.6038</v>
      </c>
      <c r="BV117" s="71">
        <v>-260.19870000000003</v>
      </c>
      <c r="BW117" s="75"/>
      <c r="BY117" s="71"/>
      <c r="BZ117" s="71"/>
      <c r="CA117" s="71"/>
      <c r="CC117" s="71"/>
    </row>
    <row r="118" spans="1:81" x14ac:dyDescent="0.2">
      <c r="A118">
        <f t="shared" si="106"/>
        <v>42000</v>
      </c>
      <c r="B118">
        <f t="shared" si="86"/>
        <v>42</v>
      </c>
      <c r="C118">
        <f t="shared" si="55"/>
        <v>2.7973933208951305</v>
      </c>
      <c r="D118">
        <f t="shared" si="56"/>
        <v>1.2052327892941834</v>
      </c>
      <c r="F118">
        <f t="shared" si="57"/>
        <v>2.89396285822728E-3</v>
      </c>
      <c r="G118">
        <f t="shared" si="58"/>
        <v>2.2169205799446194E-2</v>
      </c>
      <c r="H118">
        <f t="shared" si="59"/>
        <v>-3.119423444200554</v>
      </c>
      <c r="J118">
        <f t="shared" si="60"/>
        <v>15</v>
      </c>
      <c r="M118">
        <f t="shared" si="61"/>
        <v>8.0321408522614657E-2</v>
      </c>
      <c r="N118">
        <f t="shared" si="62"/>
        <v>-1.5707963250000001</v>
      </c>
      <c r="O118">
        <f t="shared" si="63"/>
        <v>12.485342180014415</v>
      </c>
      <c r="P118">
        <f t="shared" si="64"/>
        <v>1.4906165242287936</v>
      </c>
      <c r="Q118">
        <f t="shared" si="65"/>
        <v>17.271792990489292</v>
      </c>
      <c r="R118">
        <f t="shared" si="66"/>
        <v>1.5128660621793564</v>
      </c>
      <c r="S118">
        <f t="shared" si="67"/>
        <v>0.53782508293742992</v>
      </c>
      <c r="T118">
        <f t="shared" si="68"/>
        <v>-1.0029411466881459</v>
      </c>
      <c r="U118">
        <f t="shared" si="69"/>
        <v>0.99998872712923559</v>
      </c>
      <c r="V118">
        <f t="shared" si="70"/>
        <v>-4.7482400832179195E-3</v>
      </c>
      <c r="X118">
        <f t="shared" si="87"/>
        <v>1.0708618391952429</v>
      </c>
      <c r="Y118">
        <f t="shared" si="71"/>
        <v>-85.32451858407714</v>
      </c>
      <c r="Z118">
        <f t="shared" si="88"/>
        <v>94.67548141592286</v>
      </c>
      <c r="AC118">
        <v>1</v>
      </c>
      <c r="AD118">
        <f t="shared" si="72"/>
        <v>12.445230787416001</v>
      </c>
      <c r="AE118">
        <f t="shared" si="73"/>
        <v>-3.2842190278211857E-6</v>
      </c>
      <c r="AF118">
        <f t="shared" si="74"/>
        <v>6.916656041946E-4</v>
      </c>
      <c r="AG118">
        <f t="shared" si="89"/>
        <v>17985.861893207362</v>
      </c>
      <c r="AH118">
        <f t="shared" si="90"/>
        <v>-1531.187185597661</v>
      </c>
      <c r="AJ118">
        <f t="shared" si="75"/>
        <v>18000</v>
      </c>
      <c r="AK118">
        <f t="shared" si="76"/>
        <v>28215.523235591998</v>
      </c>
      <c r="AL118">
        <v>1</v>
      </c>
      <c r="AM118">
        <f t="shared" si="77"/>
        <v>17.242819755084</v>
      </c>
      <c r="AN118">
        <f t="shared" si="91"/>
        <v>1691.2172156953907</v>
      </c>
      <c r="AO118">
        <f t="shared" si="92"/>
        <v>-945.83038133864443</v>
      </c>
      <c r="AQ118">
        <f t="shared" si="78"/>
        <v>1.4170327334561428</v>
      </c>
      <c r="AR118">
        <f t="shared" si="79"/>
        <v>-119.03074961031599</v>
      </c>
      <c r="AT118">
        <f t="shared" si="104"/>
        <v>-156771.80345330335</v>
      </c>
      <c r="AU118">
        <f t="shared" si="105"/>
        <v>-2143040.3658991298</v>
      </c>
      <c r="AV118">
        <f t="shared" si="93"/>
        <v>-1.6438201698859074</v>
      </c>
      <c r="AW118">
        <f t="shared" si="94"/>
        <v>-68379.635376061764</v>
      </c>
      <c r="AX118">
        <f t="shared" si="95"/>
        <v>-220097.23979351803</v>
      </c>
      <c r="AY118">
        <f t="shared" si="103"/>
        <v>-1.8720215333644468</v>
      </c>
      <c r="BA118">
        <f t="shared" si="80"/>
        <v>9.3232242476699767</v>
      </c>
      <c r="BB118">
        <f t="shared" si="96"/>
        <v>19.391322605052729</v>
      </c>
      <c r="BC118">
        <f t="shared" si="97"/>
        <v>0.22820136347853937</v>
      </c>
      <c r="BD118">
        <f t="shared" si="81"/>
        <v>-166.92502497860852</v>
      </c>
      <c r="BF118">
        <f t="shared" si="82"/>
        <v>1.0780775182101867</v>
      </c>
      <c r="BG118">
        <f t="shared" si="83"/>
        <v>-96.600070813448582</v>
      </c>
      <c r="BH118">
        <f t="shared" si="98"/>
        <v>83.399929186551418</v>
      </c>
      <c r="BI118">
        <f t="shared" si="99"/>
        <v>83.399929186551418</v>
      </c>
      <c r="BJ118">
        <f t="shared" si="84"/>
        <v>0</v>
      </c>
      <c r="BK118">
        <f t="shared" si="100"/>
        <v>0</v>
      </c>
      <c r="BM118">
        <f t="shared" si="101"/>
        <v>-18.313245086842546</v>
      </c>
      <c r="BN118">
        <f t="shared" si="85"/>
        <v>-109.67504583484008</v>
      </c>
      <c r="BQ118" s="66">
        <f t="shared" si="102"/>
        <v>36.293283405337867</v>
      </c>
      <c r="BR118" s="71"/>
      <c r="BS118" s="71"/>
      <c r="BT118" s="71">
        <v>1202.2639999999999</v>
      </c>
      <c r="BU118" s="71">
        <v>13.412800000000001</v>
      </c>
      <c r="BV118" s="71">
        <v>-259.34100000000001</v>
      </c>
      <c r="BW118" s="75"/>
      <c r="BY118" s="71"/>
      <c r="BZ118" s="71"/>
      <c r="CA118" s="71"/>
      <c r="CC118" s="71"/>
    </row>
    <row r="119" spans="1:81" x14ac:dyDescent="0.2">
      <c r="A119">
        <f t="shared" si="106"/>
        <v>42500</v>
      </c>
      <c r="B119">
        <f t="shared" si="86"/>
        <v>42.5</v>
      </c>
      <c r="C119">
        <f t="shared" si="55"/>
        <v>2.8264618269379413</v>
      </c>
      <c r="D119">
        <f t="shared" si="56"/>
        <v>1.2091663832569775</v>
      </c>
      <c r="F119">
        <f t="shared" si="57"/>
        <v>2.8260935239787489E-3</v>
      </c>
      <c r="G119">
        <f t="shared" si="58"/>
        <v>2.1906980160109703E-2</v>
      </c>
      <c r="H119">
        <f t="shared" si="59"/>
        <v>-3.1196856698398907</v>
      </c>
      <c r="J119">
        <f t="shared" si="60"/>
        <v>15</v>
      </c>
      <c r="M119">
        <f t="shared" si="61"/>
        <v>7.9376450775289778E-2</v>
      </c>
      <c r="N119">
        <f t="shared" si="62"/>
        <v>-1.5707963250000001</v>
      </c>
      <c r="O119">
        <f t="shared" si="63"/>
        <v>12.633029280173753</v>
      </c>
      <c r="P119">
        <f t="shared" si="64"/>
        <v>1.4915558490108307</v>
      </c>
      <c r="Q119">
        <f t="shared" si="65"/>
        <v>17.476724354409885</v>
      </c>
      <c r="R119">
        <f t="shared" si="66"/>
        <v>1.5135460976641353</v>
      </c>
      <c r="S119">
        <f t="shared" si="67"/>
        <v>0.5333049575020552</v>
      </c>
      <c r="T119">
        <f t="shared" si="68"/>
        <v>-1.0082936268281963</v>
      </c>
      <c r="U119">
        <f t="shared" si="69"/>
        <v>0.99998845713459661</v>
      </c>
      <c r="V119">
        <f t="shared" si="70"/>
        <v>-4.8047658860220135E-3</v>
      </c>
      <c r="X119">
        <f t="shared" si="87"/>
        <v>0.98301472869941731</v>
      </c>
      <c r="Y119">
        <f t="shared" si="71"/>
        <v>-85.331295377199794</v>
      </c>
      <c r="Z119">
        <f t="shared" si="88"/>
        <v>94.668704622800206</v>
      </c>
      <c r="AC119">
        <v>1</v>
      </c>
      <c r="AD119">
        <f t="shared" si="72"/>
        <v>12.593388296790001</v>
      </c>
      <c r="AE119">
        <f t="shared" si="73"/>
        <v>-3.3628801695022774E-6</v>
      </c>
      <c r="AF119">
        <f t="shared" si="74"/>
        <v>6.9989971853025008E-4</v>
      </c>
      <c r="AG119">
        <f t="shared" si="89"/>
        <v>17985.852180926606</v>
      </c>
      <c r="AH119">
        <f t="shared" si="90"/>
        <v>-1515.1945879586783</v>
      </c>
      <c r="AJ119">
        <f t="shared" si="75"/>
        <v>18000</v>
      </c>
      <c r="AK119">
        <f t="shared" si="76"/>
        <v>28551.422321729999</v>
      </c>
      <c r="AL119">
        <v>1</v>
      </c>
      <c r="AM119">
        <f t="shared" si="77"/>
        <v>17.448091418834998</v>
      </c>
      <c r="AN119">
        <f t="shared" si="91"/>
        <v>1689.9383362483304</v>
      </c>
      <c r="AO119">
        <f t="shared" si="92"/>
        <v>-934.77626132478645</v>
      </c>
      <c r="AQ119">
        <f t="shared" si="78"/>
        <v>1.3838915029061722</v>
      </c>
      <c r="AR119">
        <f t="shared" si="79"/>
        <v>-117.63077774702464</v>
      </c>
      <c r="AT119">
        <f t="shared" si="104"/>
        <v>-153343.04981395107</v>
      </c>
      <c r="AU119">
        <f t="shared" si="105"/>
        <v>-2117786.6454009414</v>
      </c>
      <c r="AV119">
        <f t="shared" si="93"/>
        <v>-1.6430774073152257</v>
      </c>
      <c r="AW119">
        <f t="shared" si="94"/>
        <v>-65807.536195456501</v>
      </c>
      <c r="AX119">
        <f t="shared" si="95"/>
        <v>-217331.43449202235</v>
      </c>
      <c r="AY119">
        <f t="shared" si="103"/>
        <v>-1.8648181655020781</v>
      </c>
      <c r="BA119">
        <f t="shared" si="80"/>
        <v>9.3507434824304134</v>
      </c>
      <c r="BB119">
        <f t="shared" si="96"/>
        <v>19.416922864466382</v>
      </c>
      <c r="BC119">
        <f t="shared" si="97"/>
        <v>0.22174075818685246</v>
      </c>
      <c r="BD119">
        <f t="shared" si="81"/>
        <v>-167.29519039534503</v>
      </c>
      <c r="BF119">
        <f t="shared" si="82"/>
        <v>0.98734113150121705</v>
      </c>
      <c r="BG119">
        <f t="shared" si="83"/>
        <v>-96.759882319972618</v>
      </c>
      <c r="BH119">
        <f t="shared" si="98"/>
        <v>83.240117680027382</v>
      </c>
      <c r="BI119">
        <f t="shared" si="99"/>
        <v>83.240117680027382</v>
      </c>
      <c r="BJ119">
        <f t="shared" si="84"/>
        <v>0</v>
      </c>
      <c r="BK119">
        <f t="shared" si="100"/>
        <v>0</v>
      </c>
      <c r="BM119">
        <f t="shared" si="101"/>
        <v>-18.429581732965165</v>
      </c>
      <c r="BN119">
        <f t="shared" si="85"/>
        <v>-109.46469192462759</v>
      </c>
      <c r="BQ119" s="66">
        <f t="shared" si="102"/>
        <v>36.318883664751517</v>
      </c>
      <c r="BR119" s="71"/>
      <c r="BS119" s="71"/>
      <c r="BT119" s="71">
        <v>1230.269</v>
      </c>
      <c r="BU119" s="71">
        <v>13.1837</v>
      </c>
      <c r="BV119" s="71">
        <v>-259.55099999999999</v>
      </c>
      <c r="BW119" s="75"/>
      <c r="BY119" s="71"/>
      <c r="BZ119" s="71"/>
      <c r="CA119" s="71"/>
      <c r="CC119" s="71"/>
    </row>
    <row r="120" spans="1:81" x14ac:dyDescent="0.2">
      <c r="A120">
        <f t="shared" si="106"/>
        <v>43000</v>
      </c>
      <c r="B120">
        <f t="shared" si="86"/>
        <v>43</v>
      </c>
      <c r="C120">
        <f t="shared" si="55"/>
        <v>2.8555731764982535</v>
      </c>
      <c r="D120">
        <f t="shared" si="56"/>
        <v>1.2130198332139401</v>
      </c>
      <c r="F120">
        <f t="shared" si="57"/>
        <v>2.7605859776111265E-3</v>
      </c>
      <c r="G120">
        <f t="shared" si="58"/>
        <v>2.1650901332405614E-2</v>
      </c>
      <c r="H120">
        <f t="shared" si="59"/>
        <v>-3.1199417486675944</v>
      </c>
      <c r="J120">
        <f t="shared" si="60"/>
        <v>15</v>
      </c>
      <c r="M120">
        <f t="shared" si="61"/>
        <v>7.8453468789530592E-2</v>
      </c>
      <c r="N120">
        <f t="shared" si="62"/>
        <v>-1.5707963250000001</v>
      </c>
      <c r="O120">
        <f t="shared" si="63"/>
        <v>12.780727269235326</v>
      </c>
      <c r="P120">
        <f t="shared" si="64"/>
        <v>1.4924734643386637</v>
      </c>
      <c r="Q120">
        <f t="shared" si="65"/>
        <v>17.681663613065666</v>
      </c>
      <c r="R120">
        <f t="shared" si="66"/>
        <v>1.5142103695525071</v>
      </c>
      <c r="S120">
        <f t="shared" si="67"/>
        <v>0.52884540323580498</v>
      </c>
      <c r="T120">
        <f t="shared" si="68"/>
        <v>-1.0135567396137721</v>
      </c>
      <c r="U120">
        <f t="shared" si="69"/>
        <v>0.99998818394497713</v>
      </c>
      <c r="V120">
        <f t="shared" si="70"/>
        <v>-4.8612916581218342E-3</v>
      </c>
      <c r="X120">
        <f t="shared" si="87"/>
        <v>0.89600549204775382</v>
      </c>
      <c r="Y120">
        <f t="shared" si="71"/>
        <v>-85.339338570895876</v>
      </c>
      <c r="Z120">
        <f t="shared" si="88"/>
        <v>94.660661429104124</v>
      </c>
      <c r="AC120">
        <v>1</v>
      </c>
      <c r="AD120">
        <f t="shared" si="72"/>
        <v>12.741545806164002</v>
      </c>
      <c r="AE120">
        <f t="shared" si="73"/>
        <v>-3.4424722122683515E-6</v>
      </c>
      <c r="AF120">
        <f t="shared" si="74"/>
        <v>7.0813383286590006E-4</v>
      </c>
      <c r="AG120">
        <f t="shared" si="89"/>
        <v>17985.842353718293</v>
      </c>
      <c r="AH120">
        <f t="shared" si="90"/>
        <v>-1499.5975523711636</v>
      </c>
      <c r="AJ120">
        <f t="shared" si="75"/>
        <v>18000</v>
      </c>
      <c r="AK120">
        <f t="shared" si="76"/>
        <v>28887.321407867999</v>
      </c>
      <c r="AL120">
        <v>1</v>
      </c>
      <c r="AM120">
        <f t="shared" si="77"/>
        <v>17.653363082586001</v>
      </c>
      <c r="AN120">
        <f t="shared" si="91"/>
        <v>1688.7036187189444</v>
      </c>
      <c r="AO120">
        <f t="shared" si="92"/>
        <v>-923.9767122544024</v>
      </c>
      <c r="AQ120">
        <f t="shared" si="78"/>
        <v>1.35189941868325</v>
      </c>
      <c r="AR120">
        <f t="shared" si="79"/>
        <v>-116.2633500067595</v>
      </c>
      <c r="AT120">
        <f t="shared" si="104"/>
        <v>-150033.18527808809</v>
      </c>
      <c r="AU120">
        <f t="shared" si="105"/>
        <v>-2093121.5897960584</v>
      </c>
      <c r="AV120">
        <f t="shared" si="93"/>
        <v>-1.6423530979528673</v>
      </c>
      <c r="AW120">
        <f t="shared" si="94"/>
        <v>-63324.152094852448</v>
      </c>
      <c r="AX120">
        <f t="shared" si="95"/>
        <v>-214636.17857856533</v>
      </c>
      <c r="AY120">
        <f t="shared" si="103"/>
        <v>-1.8576874472028189</v>
      </c>
      <c r="BA120">
        <f t="shared" si="80"/>
        <v>9.3773695272312612</v>
      </c>
      <c r="BB120">
        <f t="shared" si="96"/>
        <v>19.441620605487046</v>
      </c>
      <c r="BC120">
        <f t="shared" si="97"/>
        <v>0.21533434924995154</v>
      </c>
      <c r="BD120">
        <f t="shared" si="81"/>
        <v>-167.66225058968377</v>
      </c>
      <c r="BF120">
        <f t="shared" si="82"/>
        <v>0.89733721592725357</v>
      </c>
      <c r="BG120">
        <f t="shared" si="83"/>
        <v>-96.920828331027082</v>
      </c>
      <c r="BH120">
        <f t="shared" si="98"/>
        <v>83.079171668972918</v>
      </c>
      <c r="BI120">
        <f t="shared" si="99"/>
        <v>83.079171668972918</v>
      </c>
      <c r="BJ120">
        <f t="shared" si="84"/>
        <v>0</v>
      </c>
      <c r="BK120">
        <f t="shared" si="100"/>
        <v>0</v>
      </c>
      <c r="BM120">
        <f t="shared" si="101"/>
        <v>-18.544283389559794</v>
      </c>
      <c r="BN120">
        <f t="shared" si="85"/>
        <v>-109.25857774134332</v>
      </c>
      <c r="BQ120" s="66">
        <f t="shared" si="102"/>
        <v>36.343581405772184</v>
      </c>
      <c r="BR120" s="71"/>
      <c r="BS120" s="71"/>
      <c r="BT120" s="71">
        <v>1258.925</v>
      </c>
      <c r="BU120" s="71">
        <v>13.0792</v>
      </c>
      <c r="BV120" s="71">
        <v>-259.27199999999999</v>
      </c>
      <c r="BW120" s="75"/>
      <c r="BY120" s="71"/>
      <c r="BZ120" s="71"/>
      <c r="CA120" s="71"/>
      <c r="CC120" s="71"/>
    </row>
    <row r="121" spans="1:81" x14ac:dyDescent="0.2">
      <c r="A121">
        <f t="shared" si="106"/>
        <v>43500</v>
      </c>
      <c r="B121">
        <f t="shared" si="86"/>
        <v>43.5</v>
      </c>
      <c r="C121">
        <f t="shared" si="55"/>
        <v>2.8847260725042108</v>
      </c>
      <c r="D121">
        <f t="shared" si="56"/>
        <v>1.2167954527541531</v>
      </c>
      <c r="F121">
        <f t="shared" si="57"/>
        <v>2.6973318046647054E-3</v>
      </c>
      <c r="G121">
        <f t="shared" si="58"/>
        <v>2.1400755155007195E-2</v>
      </c>
      <c r="H121">
        <f t="shared" si="59"/>
        <v>-3.1201918948449929</v>
      </c>
      <c r="J121">
        <f t="shared" si="60"/>
        <v>15</v>
      </c>
      <c r="M121">
        <f t="shared" si="61"/>
        <v>7.7551704780455533E-2</v>
      </c>
      <c r="N121">
        <f t="shared" si="62"/>
        <v>-1.5707963250000001</v>
      </c>
      <c r="O121">
        <f t="shared" si="63"/>
        <v>12.92843577400574</v>
      </c>
      <c r="P121">
        <f t="shared" si="64"/>
        <v>1.4933701127370929</v>
      </c>
      <c r="Q121">
        <f t="shared" si="65"/>
        <v>17.88661049509032</v>
      </c>
      <c r="R121">
        <f t="shared" si="66"/>
        <v>1.5148594191113356</v>
      </c>
      <c r="S121">
        <f t="shared" si="67"/>
        <v>0.52444564534307292</v>
      </c>
      <c r="T121">
        <f t="shared" si="68"/>
        <v>-1.0187324202869914</v>
      </c>
      <c r="U121">
        <f t="shared" si="69"/>
        <v>0.99998790756038558</v>
      </c>
      <c r="V121">
        <f t="shared" si="70"/>
        <v>-4.9178173991561904E-3</v>
      </c>
      <c r="X121">
        <f t="shared" si="87"/>
        <v>0.80981650364749458</v>
      </c>
      <c r="Y121">
        <f t="shared" si="71"/>
        <v>-85.348565202156507</v>
      </c>
      <c r="Z121">
        <f t="shared" si="88"/>
        <v>94.651434797843493</v>
      </c>
      <c r="AC121">
        <v>1</v>
      </c>
      <c r="AD121">
        <f t="shared" si="72"/>
        <v>12.889703315538002</v>
      </c>
      <c r="AE121">
        <f t="shared" si="73"/>
        <v>-3.5229951561194081E-6</v>
      </c>
      <c r="AF121">
        <f t="shared" si="74"/>
        <v>7.1636794720155003E-4</v>
      </c>
      <c r="AG121">
        <f t="shared" si="89"/>
        <v>17985.832411582804</v>
      </c>
      <c r="AH121">
        <f t="shared" si="90"/>
        <v>-1484.3824386877604</v>
      </c>
      <c r="AJ121">
        <f t="shared" si="75"/>
        <v>18000</v>
      </c>
      <c r="AK121">
        <f t="shared" si="76"/>
        <v>29223.220494006</v>
      </c>
      <c r="AL121">
        <v>1</v>
      </c>
      <c r="AM121">
        <f t="shared" si="77"/>
        <v>17.858634746337</v>
      </c>
      <c r="AN121">
        <f t="shared" si="91"/>
        <v>1687.5110550345471</v>
      </c>
      <c r="AO121">
        <f t="shared" si="92"/>
        <v>-913.4230682617731</v>
      </c>
      <c r="AQ121">
        <f t="shared" si="78"/>
        <v>1.321003963011889</v>
      </c>
      <c r="AR121">
        <f t="shared" si="79"/>
        <v>-114.92734478203434</v>
      </c>
      <c r="AT121">
        <f t="shared" si="104"/>
        <v>-146836.77642569662</v>
      </c>
      <c r="AU121">
        <f t="shared" si="105"/>
        <v>-2069024.8378419967</v>
      </c>
      <c r="AV121">
        <f t="shared" si="93"/>
        <v>-1.641646611536826</v>
      </c>
      <c r="AW121">
        <f t="shared" si="94"/>
        <v>-60925.455047250514</v>
      </c>
      <c r="AX121">
        <f t="shared" si="95"/>
        <v>-212008.76181908822</v>
      </c>
      <c r="AY121">
        <f t="shared" si="103"/>
        <v>-1.8506282362563196</v>
      </c>
      <c r="BA121">
        <f t="shared" si="80"/>
        <v>9.4031261176019409</v>
      </c>
      <c r="BB121">
        <f t="shared" si="96"/>
        <v>19.465445220758856</v>
      </c>
      <c r="BC121">
        <f t="shared" si="97"/>
        <v>0.20898162471949355</v>
      </c>
      <c r="BD121">
        <f t="shared" si="81"/>
        <v>-168.02623489410416</v>
      </c>
      <c r="BF121">
        <f t="shared" si="82"/>
        <v>0.80804946212622686</v>
      </c>
      <c r="BG121">
        <f t="shared" si="83"/>
        <v>-97.082817890741595</v>
      </c>
      <c r="BH121">
        <f t="shared" si="98"/>
        <v>82.917182109258405</v>
      </c>
      <c r="BI121">
        <f t="shared" si="99"/>
        <v>82.917182109258405</v>
      </c>
      <c r="BJ121">
        <f t="shared" si="84"/>
        <v>0</v>
      </c>
      <c r="BK121">
        <f t="shared" si="100"/>
        <v>0</v>
      </c>
      <c r="BM121">
        <f t="shared" si="101"/>
        <v>-18.657395758632628</v>
      </c>
      <c r="BN121">
        <f t="shared" si="85"/>
        <v>-109.05658299663743</v>
      </c>
      <c r="BQ121" s="66">
        <f t="shared" si="102"/>
        <v>36.36740602104399</v>
      </c>
      <c r="BR121" s="71"/>
      <c r="BS121" s="71"/>
      <c r="BT121" s="71">
        <v>1288.25</v>
      </c>
      <c r="BU121" s="71">
        <v>12.807</v>
      </c>
      <c r="BV121" s="71">
        <v>-258.86099999999999</v>
      </c>
      <c r="BW121" s="75"/>
      <c r="BY121" s="71"/>
      <c r="BZ121" s="71"/>
      <c r="CA121" s="71"/>
      <c r="CC121" s="71"/>
    </row>
    <row r="122" spans="1:81" x14ac:dyDescent="0.2">
      <c r="A122">
        <f t="shared" si="106"/>
        <v>44000</v>
      </c>
      <c r="B122">
        <f t="shared" si="86"/>
        <v>44</v>
      </c>
      <c r="C122">
        <f t="shared" si="55"/>
        <v>2.9139192679765666</v>
      </c>
      <c r="D122">
        <f t="shared" si="56"/>
        <v>1.2204954718269625</v>
      </c>
      <c r="F122">
        <f t="shared" si="57"/>
        <v>2.6362287456728941E-3</v>
      </c>
      <c r="G122">
        <f t="shared" si="58"/>
        <v>2.1156337324784859E-2</v>
      </c>
      <c r="H122">
        <f t="shared" si="59"/>
        <v>-3.1204363126752153</v>
      </c>
      <c r="J122">
        <f t="shared" si="60"/>
        <v>15</v>
      </c>
      <c r="M122">
        <f t="shared" si="61"/>
        <v>7.6670435407950349E-2</v>
      </c>
      <c r="N122">
        <f t="shared" si="62"/>
        <v>-1.5707963250000001</v>
      </c>
      <c r="O122">
        <f t="shared" si="63"/>
        <v>13.076154438128018</v>
      </c>
      <c r="P122">
        <f t="shared" si="64"/>
        <v>1.4942465033167804</v>
      </c>
      <c r="Q122">
        <f t="shared" si="65"/>
        <v>18.091564741404166</v>
      </c>
      <c r="R122">
        <f t="shared" si="66"/>
        <v>1.5154937631327265</v>
      </c>
      <c r="S122">
        <f t="shared" si="67"/>
        <v>0.52010490224122119</v>
      </c>
      <c r="T122">
        <f t="shared" si="68"/>
        <v>-1.0238225590687986</v>
      </c>
      <c r="U122">
        <f t="shared" si="69"/>
        <v>0.99998762798082941</v>
      </c>
      <c r="V122">
        <f t="shared" si="70"/>
        <v>-4.9743431087638894E-3</v>
      </c>
      <c r="X122">
        <f t="shared" si="87"/>
        <v>0.72443082320427687</v>
      </c>
      <c r="Y122">
        <f t="shared" si="71"/>
        <v>-85.358897272609653</v>
      </c>
      <c r="Z122">
        <f t="shared" si="88"/>
        <v>94.641102727390347</v>
      </c>
      <c r="AC122">
        <v>1</v>
      </c>
      <c r="AD122">
        <f t="shared" si="72"/>
        <v>13.037860824912</v>
      </c>
      <c r="AE122">
        <f t="shared" si="73"/>
        <v>-3.6044490010554501E-6</v>
      </c>
      <c r="AF122">
        <f t="shared" si="74"/>
        <v>7.246020615372E-4</v>
      </c>
      <c r="AG122">
        <f t="shared" si="89"/>
        <v>17985.822354520507</v>
      </c>
      <c r="AH122">
        <f t="shared" si="90"/>
        <v>-1469.5362267669252</v>
      </c>
      <c r="AJ122">
        <f t="shared" si="75"/>
        <v>18000</v>
      </c>
      <c r="AK122">
        <f t="shared" si="76"/>
        <v>29559.119580144001</v>
      </c>
      <c r="AL122">
        <v>1</v>
      </c>
      <c r="AM122">
        <f t="shared" si="77"/>
        <v>18.063906410087998</v>
      </c>
      <c r="AN122">
        <f t="shared" si="91"/>
        <v>1686.3587498590666</v>
      </c>
      <c r="AO122">
        <f t="shared" si="92"/>
        <v>-903.10705114317864</v>
      </c>
      <c r="AQ122">
        <f t="shared" si="78"/>
        <v>1.2911555842479019</v>
      </c>
      <c r="AR122">
        <f t="shared" si="79"/>
        <v>-113.62169141381537</v>
      </c>
      <c r="AT122">
        <f t="shared" si="104"/>
        <v>-143748.69670880429</v>
      </c>
      <c r="AU122">
        <f t="shared" si="105"/>
        <v>-2045476.957294476</v>
      </c>
      <c r="AV122">
        <f t="shared" si="93"/>
        <v>-1.6409573461174858</v>
      </c>
      <c r="AW122">
        <f t="shared" si="94"/>
        <v>-58607.642772660183</v>
      </c>
      <c r="AX122">
        <f t="shared" si="95"/>
        <v>-209446.61256960084</v>
      </c>
      <c r="AY122">
        <f t="shared" si="103"/>
        <v>-1.8436393994717819</v>
      </c>
      <c r="BA122">
        <f t="shared" si="80"/>
        <v>9.4280363005954442</v>
      </c>
      <c r="BB122">
        <f t="shared" si="96"/>
        <v>19.488424920231854</v>
      </c>
      <c r="BC122">
        <f t="shared" si="97"/>
        <v>0.20268205335429612</v>
      </c>
      <c r="BD122">
        <f t="shared" si="81"/>
        <v>-168.38717374648388</v>
      </c>
      <c r="BF122">
        <f t="shared" si="82"/>
        <v>0.71946223128015374</v>
      </c>
      <c r="BG122">
        <f t="shared" si="83"/>
        <v>-97.24576537601466</v>
      </c>
      <c r="BH122">
        <f t="shared" si="98"/>
        <v>82.75423462398534</v>
      </c>
      <c r="BI122">
        <f t="shared" si="99"/>
        <v>82.75423462398534</v>
      </c>
      <c r="BJ122">
        <f t="shared" si="84"/>
        <v>0</v>
      </c>
      <c r="BK122">
        <f t="shared" si="100"/>
        <v>0</v>
      </c>
      <c r="BM122">
        <f t="shared" si="101"/>
        <v>-18.768962688951699</v>
      </c>
      <c r="BN122">
        <f t="shared" si="85"/>
        <v>-108.85859162953079</v>
      </c>
      <c r="BQ122" s="66">
        <f t="shared" si="102"/>
        <v>36.390385720516988</v>
      </c>
      <c r="BR122" s="71"/>
      <c r="BS122" s="71"/>
      <c r="BT122" s="71">
        <v>1318.2570000000001</v>
      </c>
      <c r="BU122" s="71">
        <v>12.682600000000001</v>
      </c>
      <c r="BV122" s="71">
        <v>-258.68299999999999</v>
      </c>
      <c r="BW122" s="75"/>
      <c r="BY122" s="71"/>
      <c r="BZ122" s="71"/>
      <c r="CA122" s="71"/>
      <c r="CC122" s="71"/>
    </row>
    <row r="123" spans="1:81" x14ac:dyDescent="0.2">
      <c r="A123">
        <f t="shared" si="106"/>
        <v>44500</v>
      </c>
      <c r="B123">
        <f t="shared" si="86"/>
        <v>44.5</v>
      </c>
      <c r="C123">
        <f t="shared" si="55"/>
        <v>2.9431515637212584</v>
      </c>
      <c r="D123">
        <f t="shared" si="56"/>
        <v>1.2241220402518944</v>
      </c>
      <c r="F123">
        <f t="shared" si="57"/>
        <v>2.5771802812312051E-3</v>
      </c>
      <c r="G123">
        <f t="shared" si="58"/>
        <v>2.0917452834738191E-2</v>
      </c>
      <c r="H123">
        <f t="shared" si="59"/>
        <v>-3.1206751971652622</v>
      </c>
      <c r="J123">
        <f t="shared" si="60"/>
        <v>15</v>
      </c>
      <c r="M123">
        <f t="shared" si="61"/>
        <v>7.5808969841568874E-2</v>
      </c>
      <c r="N123">
        <f t="shared" si="62"/>
        <v>-1.5707963250000001</v>
      </c>
      <c r="O123">
        <f t="shared" si="63"/>
        <v>13.223882921144099</v>
      </c>
      <c r="P123">
        <f t="shared" si="64"/>
        <v>1.4951033136292973</v>
      </c>
      <c r="Q123">
        <f t="shared" si="65"/>
        <v>18.296526104527047</v>
      </c>
      <c r="R123">
        <f t="shared" si="66"/>
        <v>1.5161138953005475</v>
      </c>
      <c r="S123">
        <f t="shared" si="67"/>
        <v>0.5158223872156783</v>
      </c>
      <c r="T123">
        <f t="shared" si="68"/>
        <v>-1.028829001950369</v>
      </c>
      <c r="U123">
        <f t="shared" si="69"/>
        <v>0.99998734520631671</v>
      </c>
      <c r="V123">
        <f t="shared" si="70"/>
        <v>-5.0308687865837417E-3</v>
      </c>
      <c r="X123">
        <f t="shared" si="87"/>
        <v>0.63983215487492684</v>
      </c>
      <c r="Y123">
        <f t="shared" si="71"/>
        <v>-85.37026144038299</v>
      </c>
      <c r="Z123">
        <f t="shared" si="88"/>
        <v>94.62973855961701</v>
      </c>
      <c r="AC123">
        <v>1</v>
      </c>
      <c r="AD123">
        <f t="shared" si="72"/>
        <v>13.186018334286</v>
      </c>
      <c r="AE123">
        <f t="shared" si="73"/>
        <v>-3.6868337470764745E-6</v>
      </c>
      <c r="AF123">
        <f t="shared" si="74"/>
        <v>7.3283617587285009E-4</v>
      </c>
      <c r="AG123">
        <f t="shared" si="89"/>
        <v>17985.812182531794</v>
      </c>
      <c r="AH123">
        <f t="shared" si="90"/>
        <v>-1455.0464816411388</v>
      </c>
      <c r="AJ123">
        <f t="shared" si="75"/>
        <v>18000</v>
      </c>
      <c r="AK123">
        <f t="shared" si="76"/>
        <v>29895.018666281998</v>
      </c>
      <c r="AL123">
        <v>1</v>
      </c>
      <c r="AM123">
        <f t="shared" si="77"/>
        <v>18.269178073839001</v>
      </c>
      <c r="AN123">
        <f t="shared" si="91"/>
        <v>1685.2449130899065</v>
      </c>
      <c r="AO123">
        <f t="shared" si="92"/>
        <v>-893.02074898883416</v>
      </c>
      <c r="AQ123">
        <f t="shared" si="78"/>
        <v>1.2623074981065388</v>
      </c>
      <c r="AR123">
        <f t="shared" si="79"/>
        <v>-112.34536733148195</v>
      </c>
      <c r="AT123">
        <f t="shared" si="104"/>
        <v>-140764.10588680833</v>
      </c>
      <c r="AU123">
        <f t="shared" si="105"/>
        <v>-2022459.3924854465</v>
      </c>
      <c r="AV123">
        <f t="shared" si="93"/>
        <v>-1.6402847264891169</v>
      </c>
      <c r="AW123">
        <f t="shared" si="94"/>
        <v>-56367.123743871409</v>
      </c>
      <c r="AX123">
        <f t="shared" si="95"/>
        <v>-206947.28897729531</v>
      </c>
      <c r="AY123">
        <f t="shared" si="103"/>
        <v>-1.8367198138358733</v>
      </c>
      <c r="BA123">
        <f t="shared" si="80"/>
        <v>9.4521224521109222</v>
      </c>
      <c r="BB123">
        <f t="shared" si="96"/>
        <v>19.510586785511315</v>
      </c>
      <c r="BC123">
        <f t="shared" si="97"/>
        <v>0.19643508734675641</v>
      </c>
      <c r="BD123">
        <f t="shared" si="81"/>
        <v>-168.74509853388659</v>
      </c>
      <c r="BF123">
        <f t="shared" si="82"/>
        <v>0.63156051354616161</v>
      </c>
      <c r="BG123">
        <f t="shared" si="83"/>
        <v>-97.4095901714024</v>
      </c>
      <c r="BH123">
        <f t="shared" si="98"/>
        <v>82.5904098285976</v>
      </c>
      <c r="BI123">
        <f t="shared" si="99"/>
        <v>82.5904098285976</v>
      </c>
      <c r="BJ123">
        <f t="shared" si="84"/>
        <v>0</v>
      </c>
      <c r="BK123">
        <f t="shared" si="100"/>
        <v>0</v>
      </c>
      <c r="BM123">
        <f t="shared" si="101"/>
        <v>-18.879026271965152</v>
      </c>
      <c r="BN123">
        <f t="shared" si="85"/>
        <v>-108.66449163751582</v>
      </c>
      <c r="BQ123" s="66">
        <f t="shared" si="102"/>
        <v>36.412547585796446</v>
      </c>
      <c r="BR123" s="71"/>
      <c r="BS123" s="71"/>
      <c r="BT123" s="71">
        <v>1348.963</v>
      </c>
      <c r="BU123" s="71">
        <v>12.475899999999999</v>
      </c>
      <c r="BV123" s="71">
        <v>-258.79700000000003</v>
      </c>
      <c r="BW123" s="75"/>
      <c r="BY123" s="71"/>
      <c r="BZ123" s="71"/>
      <c r="CA123" s="71"/>
      <c r="CC123" s="71"/>
    </row>
    <row r="124" spans="1:81" x14ac:dyDescent="0.2">
      <c r="A124">
        <f t="shared" si="106"/>
        <v>45000</v>
      </c>
      <c r="B124">
        <f t="shared" si="86"/>
        <v>45</v>
      </c>
      <c r="C124">
        <f t="shared" si="55"/>
        <v>2.9724218061430938</v>
      </c>
      <c r="D124">
        <f t="shared" si="56"/>
        <v>1.2276772310681359</v>
      </c>
      <c r="F124">
        <f t="shared" si="57"/>
        <v>2.5200952493615626E-3</v>
      </c>
      <c r="G124">
        <f t="shared" si="58"/>
        <v>2.0683915450032966E-2</v>
      </c>
      <c r="H124">
        <f t="shared" si="59"/>
        <v>-3.1209087345499671</v>
      </c>
      <c r="J124">
        <f t="shared" si="60"/>
        <v>15</v>
      </c>
      <c r="M124">
        <f t="shared" si="61"/>
        <v>7.4966647954440344E-2</v>
      </c>
      <c r="N124">
        <f t="shared" si="62"/>
        <v>-1.5707963250000001</v>
      </c>
      <c r="O124">
        <f t="shared" si="63"/>
        <v>13.371620897619179</v>
      </c>
      <c r="P124">
        <f t="shared" si="64"/>
        <v>1.4959411914001763</v>
      </c>
      <c r="Q124">
        <f t="shared" si="65"/>
        <v>18.501494347936852</v>
      </c>
      <c r="R124">
        <f t="shared" si="66"/>
        <v>1.5167202874664918</v>
      </c>
      <c r="S124">
        <f t="shared" si="67"/>
        <v>0.5115973099418184</v>
      </c>
      <c r="T124">
        <f t="shared" si="68"/>
        <v>-1.0337535515025404</v>
      </c>
      <c r="U124">
        <f t="shared" si="69"/>
        <v>0.99998705923685594</v>
      </c>
      <c r="V124">
        <f t="shared" si="70"/>
        <v>-5.0873944322545562E-3</v>
      </c>
      <c r="X124">
        <f t="shared" si="87"/>
        <v>0.55600480949067477</v>
      </c>
      <c r="Y124">
        <f t="shared" si="71"/>
        <v>-85.382588732180935</v>
      </c>
      <c r="Z124">
        <f t="shared" si="88"/>
        <v>94.617411267819065</v>
      </c>
      <c r="AC124">
        <v>1</v>
      </c>
      <c r="AD124">
        <f t="shared" si="72"/>
        <v>13.334175843660002</v>
      </c>
      <c r="AE124">
        <f t="shared" si="73"/>
        <v>-3.770149394182483E-6</v>
      </c>
      <c r="AF124">
        <f t="shared" si="74"/>
        <v>7.4107029020850006E-4</v>
      </c>
      <c r="AG124">
        <f t="shared" si="89"/>
        <v>17985.801895617067</v>
      </c>
      <c r="AH124">
        <f t="shared" si="90"/>
        <v>-1440.9013210072405</v>
      </c>
      <c r="AJ124">
        <f t="shared" si="75"/>
        <v>18000</v>
      </c>
      <c r="AK124">
        <f t="shared" si="76"/>
        <v>30230.917752419999</v>
      </c>
      <c r="AL124">
        <v>1</v>
      </c>
      <c r="AM124">
        <f t="shared" si="77"/>
        <v>18.47444973759</v>
      </c>
      <c r="AN124">
        <f t="shared" si="91"/>
        <v>1684.1678529304359</v>
      </c>
      <c r="AO124">
        <f t="shared" si="92"/>
        <v>-883.15659620820577</v>
      </c>
      <c r="AQ124">
        <f t="shared" si="78"/>
        <v>1.2344155042587335</v>
      </c>
      <c r="AR124">
        <f t="shared" si="79"/>
        <v>-111.09739538328601</v>
      </c>
      <c r="AT124">
        <f t="shared" si="104"/>
        <v>-137878.4310517647</v>
      </c>
      <c r="AU124">
        <f t="shared" si="105"/>
        <v>-1999954.4154135825</v>
      </c>
      <c r="AV124">
        <f t="shared" si="93"/>
        <v>-1.6396282027242639</v>
      </c>
      <c r="AW124">
        <f t="shared" si="94"/>
        <v>-54200.503339928793</v>
      </c>
      <c r="AX124">
        <f t="shared" si="95"/>
        <v>-204508.47084507009</v>
      </c>
      <c r="AY124">
        <f t="shared" si="103"/>
        <v>-1.8298683675311063</v>
      </c>
      <c r="BA124">
        <f t="shared" si="80"/>
        <v>9.4754062942105488</v>
      </c>
      <c r="BB124">
        <f t="shared" si="96"/>
        <v>19.531956821457829</v>
      </c>
      <c r="BC124">
        <f t="shared" si="97"/>
        <v>0.19024016480684236</v>
      </c>
      <c r="BD124">
        <f t="shared" si="81"/>
        <v>-169.1000414502397</v>
      </c>
      <c r="BF124">
        <f t="shared" si="82"/>
        <v>0.54432988966903229</v>
      </c>
      <c r="BG124">
        <f t="shared" si="83"/>
        <v>-97.574216364905851</v>
      </c>
      <c r="BH124">
        <f t="shared" si="98"/>
        <v>82.425783635094149</v>
      </c>
      <c r="BI124">
        <f t="shared" si="99"/>
        <v>82.425783635094149</v>
      </c>
      <c r="BJ124">
        <f t="shared" si="84"/>
        <v>0</v>
      </c>
      <c r="BK124">
        <f t="shared" si="100"/>
        <v>0</v>
      </c>
      <c r="BM124">
        <f t="shared" si="101"/>
        <v>-18.987626931788796</v>
      </c>
      <c r="BN124">
        <f t="shared" si="85"/>
        <v>-108.47417491466616</v>
      </c>
      <c r="BQ124" s="66">
        <f t="shared" si="102"/>
        <v>36.433917621742964</v>
      </c>
      <c r="BR124" s="71"/>
      <c r="BS124" s="71"/>
      <c r="BT124" s="71">
        <v>1380.384</v>
      </c>
      <c r="BU124" s="71">
        <v>12.2584</v>
      </c>
      <c r="BV124" s="71">
        <v>-258.41000000000003</v>
      </c>
      <c r="BW124" s="75"/>
      <c r="BY124" s="71"/>
      <c r="BZ124" s="71"/>
      <c r="CA124" s="71"/>
      <c r="CC124" s="71"/>
    </row>
    <row r="125" spans="1:81" x14ac:dyDescent="0.2">
      <c r="A125">
        <f t="shared" si="106"/>
        <v>45500</v>
      </c>
      <c r="B125">
        <f t="shared" si="86"/>
        <v>45.5</v>
      </c>
      <c r="C125">
        <f t="shared" si="55"/>
        <v>3.0017288851735651</v>
      </c>
      <c r="D125">
        <f t="shared" si="56"/>
        <v>1.231163043730946</v>
      </c>
      <c r="F125">
        <f t="shared" si="57"/>
        <v>2.4648874923287262E-3</v>
      </c>
      <c r="G125">
        <f t="shared" si="58"/>
        <v>2.0455547219156895E-2</v>
      </c>
      <c r="H125">
        <f t="shared" si="59"/>
        <v>-3.1211371027808434</v>
      </c>
      <c r="J125">
        <f t="shared" si="60"/>
        <v>15</v>
      </c>
      <c r="M125">
        <f t="shared" si="61"/>
        <v>7.4142838636259673E-2</v>
      </c>
      <c r="N125">
        <f t="shared" si="62"/>
        <v>-1.5707963250000001</v>
      </c>
      <c r="O125">
        <f t="shared" si="63"/>
        <v>13.519368056323234</v>
      </c>
      <c r="P125">
        <f t="shared" si="64"/>
        <v>1.496760756149218</v>
      </c>
      <c r="Q125">
        <f t="shared" si="65"/>
        <v>18.706469245470057</v>
      </c>
      <c r="R125">
        <f t="shared" si="66"/>
        <v>1.5173133908425864</v>
      </c>
      <c r="S125">
        <f t="shared" si="67"/>
        <v>0.50742887788233471</v>
      </c>
      <c r="T125">
        <f t="shared" si="68"/>
        <v>-1.038597967699356</v>
      </c>
      <c r="U125">
        <f t="shared" si="69"/>
        <v>0.99998677007245518</v>
      </c>
      <c r="V125">
        <f t="shared" si="70"/>
        <v>-5.1439200454151479E-3</v>
      </c>
      <c r="X125">
        <f t="shared" si="87"/>
        <v>0.47293366958962585</v>
      </c>
      <c r="Y125">
        <f t="shared" si="71"/>
        <v>-85.395814274175734</v>
      </c>
      <c r="Z125">
        <f t="shared" si="88"/>
        <v>94.604185725824266</v>
      </c>
      <c r="AC125">
        <v>1</v>
      </c>
      <c r="AD125">
        <f t="shared" si="72"/>
        <v>13.482333353034003</v>
      </c>
      <c r="AE125">
        <f t="shared" si="73"/>
        <v>-3.8543959423734735E-6</v>
      </c>
      <c r="AF125">
        <f t="shared" si="74"/>
        <v>7.4930440454415003E-4</v>
      </c>
      <c r="AG125">
        <f t="shared" si="89"/>
        <v>17985.791493776705</v>
      </c>
      <c r="AH125">
        <f t="shared" si="90"/>
        <v>-1427.0893848602518</v>
      </c>
      <c r="AJ125">
        <f t="shared" si="75"/>
        <v>18000</v>
      </c>
      <c r="AK125">
        <f t="shared" si="76"/>
        <v>30566.816838557999</v>
      </c>
      <c r="AL125">
        <v>1</v>
      </c>
      <c r="AM125">
        <f t="shared" si="77"/>
        <v>18.679721401340998</v>
      </c>
      <c r="AN125">
        <f t="shared" si="91"/>
        <v>1683.1259694882344</v>
      </c>
      <c r="AO125">
        <f t="shared" si="92"/>
        <v>-873.50735484418908</v>
      </c>
      <c r="AQ125">
        <f t="shared" si="78"/>
        <v>1.2074378169524269</v>
      </c>
      <c r="AR125">
        <f t="shared" si="79"/>
        <v>-109.87684134267086</v>
      </c>
      <c r="AT125">
        <f t="shared" si="104"/>
        <v>-135087.34910469234</v>
      </c>
      <c r="AU125">
        <f t="shared" si="105"/>
        <v>-1977945.0800755138</v>
      </c>
      <c r="AV125">
        <f t="shared" si="93"/>
        <v>-1.6389872488032566</v>
      </c>
      <c r="AW125">
        <f t="shared" si="94"/>
        <v>-52104.571048123027</v>
      </c>
      <c r="AX125">
        <f t="shared" si="95"/>
        <v>-202127.95210185193</v>
      </c>
      <c r="AY125">
        <f t="shared" si="103"/>
        <v>-1.8230839608271951</v>
      </c>
      <c r="BA125">
        <f t="shared" si="80"/>
        <v>9.4979089123752978</v>
      </c>
      <c r="BB125">
        <f t="shared" si="96"/>
        <v>19.552560005188539</v>
      </c>
      <c r="BC125">
        <f t="shared" si="97"/>
        <v>0.18409671202393851</v>
      </c>
      <c r="BD125">
        <f t="shared" si="81"/>
        <v>-169.4520353667402</v>
      </c>
      <c r="BF125">
        <f t="shared" si="82"/>
        <v>0.45775649550420244</v>
      </c>
      <c r="BG125">
        <f t="shared" si="83"/>
        <v>-97.739572463244897</v>
      </c>
      <c r="BH125">
        <f t="shared" si="98"/>
        <v>82.260427536755103</v>
      </c>
      <c r="BI125">
        <f t="shared" si="99"/>
        <v>82.260427536755103</v>
      </c>
      <c r="BJ125">
        <f t="shared" si="84"/>
        <v>0</v>
      </c>
      <c r="BK125">
        <f t="shared" si="100"/>
        <v>0</v>
      </c>
      <c r="BM125">
        <f t="shared" si="101"/>
        <v>-19.094803509684333</v>
      </c>
      <c r="BN125">
        <f t="shared" si="85"/>
        <v>-108.28753709650471</v>
      </c>
      <c r="BQ125" s="66">
        <f t="shared" si="102"/>
        <v>36.454520805473678</v>
      </c>
      <c r="BR125" s="71"/>
      <c r="BS125" s="71"/>
      <c r="BT125" s="71">
        <v>1412.538</v>
      </c>
      <c r="BU125" s="71">
        <v>12.0929</v>
      </c>
      <c r="BV125" s="71">
        <v>-258.13599999999997</v>
      </c>
      <c r="BW125" s="75"/>
      <c r="BY125" s="71"/>
      <c r="BZ125" s="71"/>
      <c r="CA125" s="71"/>
      <c r="CC125" s="71"/>
    </row>
    <row r="126" spans="1:81" x14ac:dyDescent="0.2">
      <c r="A126">
        <f t="shared" si="106"/>
        <v>46000</v>
      </c>
      <c r="B126">
        <f t="shared" si="86"/>
        <v>46</v>
      </c>
      <c r="C126">
        <f t="shared" si="55"/>
        <v>3.0310717323062439</v>
      </c>
      <c r="D126">
        <f t="shared" si="56"/>
        <v>1.2345814071620895</v>
      </c>
      <c r="F126">
        <f t="shared" si="57"/>
        <v>2.4114755303443879E-3</v>
      </c>
      <c r="G126">
        <f t="shared" si="58"/>
        <v>2.0232178017472728E-2</v>
      </c>
      <c r="H126">
        <f t="shared" si="59"/>
        <v>-3.1213604719825274</v>
      </c>
      <c r="J126">
        <f t="shared" si="60"/>
        <v>15</v>
      </c>
      <c r="M126">
        <f t="shared" si="61"/>
        <v>7.3336938216300329E-2</v>
      </c>
      <c r="N126">
        <f t="shared" si="62"/>
        <v>-1.5707963250000001</v>
      </c>
      <c r="O126">
        <f t="shared" si="63"/>
        <v>13.667124099465402</v>
      </c>
      <c r="P126">
        <f t="shared" si="64"/>
        <v>1.4975626007064933</v>
      </c>
      <c r="Q126">
        <f t="shared" si="65"/>
        <v>18.911450580761194</v>
      </c>
      <c r="R126">
        <f t="shared" si="66"/>
        <v>1.5178936371164569</v>
      </c>
      <c r="S126">
        <f t="shared" si="67"/>
        <v>0.50331629756833696</v>
      </c>
      <c r="T126">
        <f t="shared" si="68"/>
        <v>-1.0433639687521958</v>
      </c>
      <c r="U126">
        <f t="shared" si="69"/>
        <v>0.99998647771312255</v>
      </c>
      <c r="V126">
        <f t="shared" si="70"/>
        <v>-5.2004456257043283E-3</v>
      </c>
      <c r="X126">
        <f t="shared" si="87"/>
        <v>0.39060415702154871</v>
      </c>
      <c r="Y126">
        <f t="shared" si="71"/>
        <v>-85.409877040414457</v>
      </c>
      <c r="Z126">
        <f t="shared" si="88"/>
        <v>94.590122959585543</v>
      </c>
      <c r="AC126">
        <v>1</v>
      </c>
      <c r="AD126">
        <f t="shared" si="72"/>
        <v>13.630490862408003</v>
      </c>
      <c r="AE126">
        <f t="shared" si="73"/>
        <v>-3.939573391649449E-6</v>
      </c>
      <c r="AF126">
        <f t="shared" si="74"/>
        <v>7.575385188798E-4</v>
      </c>
      <c r="AG126">
        <f t="shared" si="89"/>
        <v>17985.780977011116</v>
      </c>
      <c r="AH126">
        <f t="shared" si="90"/>
        <v>-1413.5998071076074</v>
      </c>
      <c r="AJ126">
        <f t="shared" si="75"/>
        <v>18000</v>
      </c>
      <c r="AK126">
        <f t="shared" si="76"/>
        <v>30902.715924696</v>
      </c>
      <c r="AL126">
        <v>1</v>
      </c>
      <c r="AM126">
        <f t="shared" si="77"/>
        <v>18.884993065091997</v>
      </c>
      <c r="AN126">
        <f t="shared" si="91"/>
        <v>1682.1177488540279</v>
      </c>
      <c r="AO126">
        <f t="shared" si="92"/>
        <v>-864.06609708047995</v>
      </c>
      <c r="AQ126">
        <f t="shared" si="78"/>
        <v>1.1813349084465445</v>
      </c>
      <c r="AR126">
        <f t="shared" si="79"/>
        <v>-108.68281157708211</v>
      </c>
      <c r="AT126">
        <f t="shared" si="104"/>
        <v>-132386.77055745869</v>
      </c>
      <c r="AU126">
        <f t="shared" si="105"/>
        <v>-1956415.1797898763</v>
      </c>
      <c r="AV126">
        <f t="shared" si="93"/>
        <v>-1.638361361331734</v>
      </c>
      <c r="AW126">
        <f t="shared" si="94"/>
        <v>-50076.288624843211</v>
      </c>
      <c r="AX126">
        <f t="shared" si="95"/>
        <v>-199803.63382674291</v>
      </c>
      <c r="AY126">
        <f t="shared" si="103"/>
        <v>-1.8163655068568347</v>
      </c>
      <c r="BA126">
        <f t="shared" si="80"/>
        <v>9.5196507726510546</v>
      </c>
      <c r="BB126">
        <f t="shared" si="96"/>
        <v>19.57242033262122</v>
      </c>
      <c r="BC126">
        <f t="shared" si="97"/>
        <v>0.17800414552510069</v>
      </c>
      <c r="BD126">
        <f t="shared" si="81"/>
        <v>-169.80111371392528</v>
      </c>
      <c r="BF126">
        <f t="shared" si="82"/>
        <v>0.37182698920510793</v>
      </c>
      <c r="BG126">
        <f t="shared" si="83"/>
        <v>-97.905591125304127</v>
      </c>
      <c r="BH126">
        <f t="shared" si="98"/>
        <v>82.094408874695873</v>
      </c>
      <c r="BI126">
        <f t="shared" si="99"/>
        <v>82.094408874695873</v>
      </c>
      <c r="BJ126">
        <f t="shared" si="84"/>
        <v>0</v>
      </c>
      <c r="BK126">
        <f t="shared" si="100"/>
        <v>0</v>
      </c>
      <c r="BM126">
        <f t="shared" si="101"/>
        <v>-19.200593343416109</v>
      </c>
      <c r="BN126">
        <f t="shared" si="85"/>
        <v>-108.10447741137884</v>
      </c>
      <c r="BQ126" s="66">
        <f t="shared" si="102"/>
        <v>36.474381132906352</v>
      </c>
      <c r="BR126" s="71"/>
      <c r="BS126" s="71"/>
      <c r="BT126" s="71">
        <v>1445.44</v>
      </c>
      <c r="BU126" s="71">
        <v>11.918900000000001</v>
      </c>
      <c r="BV126" s="71">
        <v>-257.92899999999997</v>
      </c>
      <c r="BW126" s="75"/>
      <c r="BY126" s="71"/>
      <c r="BZ126" s="71"/>
      <c r="CA126" s="71"/>
      <c r="CC126" s="71"/>
    </row>
    <row r="127" spans="1:81" x14ac:dyDescent="0.2">
      <c r="A127">
        <f t="shared" si="106"/>
        <v>46500</v>
      </c>
      <c r="B127">
        <f t="shared" si="86"/>
        <v>46.5</v>
      </c>
      <c r="C127">
        <f t="shared" si="55"/>
        <v>3.0604493187335904</v>
      </c>
      <c r="D127">
        <f t="shared" si="56"/>
        <v>1.2379341826610923</v>
      </c>
      <c r="F127">
        <f t="shared" si="57"/>
        <v>2.3597822598431552E-3</v>
      </c>
      <c r="G127">
        <f t="shared" si="58"/>
        <v>2.0013645120686367E-2</v>
      </c>
      <c r="H127">
        <f t="shared" si="59"/>
        <v>-3.1215790048793139</v>
      </c>
      <c r="J127">
        <f t="shared" si="60"/>
        <v>15</v>
      </c>
      <c r="M127">
        <f t="shared" si="61"/>
        <v>7.2548368988168077E-2</v>
      </c>
      <c r="N127">
        <f t="shared" si="62"/>
        <v>-1.5707963250000001</v>
      </c>
      <c r="O127">
        <f t="shared" si="63"/>
        <v>13.814888741977288</v>
      </c>
      <c r="P127">
        <f t="shared" si="64"/>
        <v>1.4983472926317822</v>
      </c>
      <c r="Q127">
        <f t="shared" si="65"/>
        <v>19.116438146718313</v>
      </c>
      <c r="R127">
        <f t="shared" si="66"/>
        <v>1.5184614394951115</v>
      </c>
      <c r="S127">
        <f t="shared" si="67"/>
        <v>0.49925877577194433</v>
      </c>
      <c r="T127">
        <f t="shared" si="68"/>
        <v>-1.0480532319513083</v>
      </c>
      <c r="U127">
        <f t="shared" si="69"/>
        <v>0.99998618215886659</v>
      </c>
      <c r="V127">
        <f t="shared" si="70"/>
        <v>-5.2569711727609124E-3</v>
      </c>
      <c r="X127">
        <f t="shared" si="87"/>
        <v>0.30900220290948294</v>
      </c>
      <c r="Y127">
        <f t="shared" si="71"/>
        <v>-85.42471961753904</v>
      </c>
      <c r="Z127">
        <f t="shared" si="88"/>
        <v>94.57528038246096</v>
      </c>
      <c r="AC127">
        <v>1</v>
      </c>
      <c r="AD127">
        <f t="shared" si="72"/>
        <v>13.778648371782001</v>
      </c>
      <c r="AE127">
        <f t="shared" si="73"/>
        <v>-4.025681742010407E-6</v>
      </c>
      <c r="AF127">
        <f t="shared" si="74"/>
        <v>7.6577263321544998E-4</v>
      </c>
      <c r="AG127">
        <f t="shared" si="89"/>
        <v>17985.770345320692</v>
      </c>
      <c r="AH127">
        <f t="shared" si="90"/>
        <v>-1400.4221890147239</v>
      </c>
      <c r="AJ127">
        <f t="shared" si="75"/>
        <v>18000</v>
      </c>
      <c r="AK127">
        <f t="shared" si="76"/>
        <v>31238.615010834001</v>
      </c>
      <c r="AL127">
        <v>1</v>
      </c>
      <c r="AM127">
        <f t="shared" si="77"/>
        <v>19.090264728843</v>
      </c>
      <c r="AN127">
        <f t="shared" si="91"/>
        <v>1681.1417576205365</v>
      </c>
      <c r="AO127">
        <f t="shared" si="92"/>
        <v>-854.82618885445379</v>
      </c>
      <c r="AQ127">
        <f t="shared" si="78"/>
        <v>1.1560693641618498</v>
      </c>
      <c r="AR127">
        <f t="shared" si="79"/>
        <v>-107.51445086705202</v>
      </c>
      <c r="AT127">
        <f t="shared" si="104"/>
        <v>-129772.82454687702</v>
      </c>
      <c r="AU127">
        <f t="shared" si="105"/>
        <v>-1935349.2072876752</v>
      </c>
      <c r="AV127">
        <f t="shared" si="93"/>
        <v>-1.6377500583396705</v>
      </c>
      <c r="AW127">
        <f t="shared" si="94"/>
        <v>-48112.779134155309</v>
      </c>
      <c r="AX127">
        <f t="shared" si="95"/>
        <v>-197533.51778004097</v>
      </c>
      <c r="AY127">
        <f t="shared" si="103"/>
        <v>-1.8097119322863671</v>
      </c>
      <c r="BA127">
        <f t="shared" si="80"/>
        <v>9.5406517386426302</v>
      </c>
      <c r="BB127">
        <f t="shared" si="96"/>
        <v>19.591560862694514</v>
      </c>
      <c r="BC127">
        <f t="shared" si="97"/>
        <v>0.1719618739466966</v>
      </c>
      <c r="BD127">
        <f t="shared" si="81"/>
        <v>-170.14731037443528</v>
      </c>
      <c r="BF127">
        <f t="shared" si="82"/>
        <v>0.2865285208509622</v>
      </c>
      <c r="BG127">
        <f t="shared" si="83"/>
        <v>-98.072208912531821</v>
      </c>
      <c r="BH127">
        <f t="shared" si="98"/>
        <v>81.927791087468179</v>
      </c>
      <c r="BI127">
        <f t="shared" si="99"/>
        <v>81.927791087468179</v>
      </c>
      <c r="BJ127">
        <f t="shared" si="84"/>
        <v>0</v>
      </c>
      <c r="BK127">
        <f t="shared" si="100"/>
        <v>0</v>
      </c>
      <c r="BM127">
        <f t="shared" si="101"/>
        <v>-19.305032341843553</v>
      </c>
      <c r="BN127">
        <f t="shared" si="85"/>
        <v>-107.92489853809656</v>
      </c>
      <c r="BQ127" s="66">
        <f t="shared" si="102"/>
        <v>36.493521662979653</v>
      </c>
      <c r="BR127" s="71"/>
      <c r="BS127" s="71"/>
      <c r="BT127" s="71">
        <v>1479.1079999999999</v>
      </c>
      <c r="BU127" s="71">
        <v>11.714700000000001</v>
      </c>
      <c r="BV127" s="71">
        <v>-257.745</v>
      </c>
      <c r="BW127" s="75"/>
      <c r="BY127" s="71"/>
      <c r="BZ127" s="71"/>
      <c r="CA127" s="71"/>
      <c r="CC127" s="71"/>
    </row>
    <row r="128" spans="1:81" x14ac:dyDescent="0.2">
      <c r="A128">
        <f t="shared" si="106"/>
        <v>47000</v>
      </c>
      <c r="B128">
        <f t="shared" si="86"/>
        <v>47</v>
      </c>
      <c r="C128">
        <f t="shared" si="55"/>
        <v>3.0898606535793975</v>
      </c>
      <c r="D128">
        <f t="shared" si="56"/>
        <v>1.2412231666838516</v>
      </c>
      <c r="F128">
        <f t="shared" si="57"/>
        <v>2.3097346742367692E-3</v>
      </c>
      <c r="G128">
        <f t="shared" si="58"/>
        <v>1.9799792805962751E-2</v>
      </c>
      <c r="H128">
        <f t="shared" si="59"/>
        <v>-3.1217928571940377</v>
      </c>
      <c r="J128">
        <f t="shared" si="60"/>
        <v>15</v>
      </c>
      <c r="M128">
        <f t="shared" si="61"/>
        <v>7.1776577828719476E-2</v>
      </c>
      <c r="N128">
        <f t="shared" si="62"/>
        <v>-1.5707963250000001</v>
      </c>
      <c r="O128">
        <f t="shared" si="63"/>
        <v>13.962661710841575</v>
      </c>
      <c r="P128">
        <f t="shared" si="64"/>
        <v>1.4991153755445372</v>
      </c>
      <c r="Q128">
        <f t="shared" si="65"/>
        <v>19.32143174503172</v>
      </c>
      <c r="R128">
        <f t="shared" si="66"/>
        <v>1.5190171936825361</v>
      </c>
      <c r="S128">
        <f t="shared" si="67"/>
        <v>0.495255520577703</v>
      </c>
      <c r="T128">
        <f t="shared" si="68"/>
        <v>-1.052667394511875</v>
      </c>
      <c r="U128">
        <f t="shared" si="69"/>
        <v>0.99998588340969585</v>
      </c>
      <c r="V128">
        <f t="shared" si="70"/>
        <v>-5.313496686223715E-3</v>
      </c>
      <c r="X128">
        <f t="shared" si="87"/>
        <v>0.22811421977224131</v>
      </c>
      <c r="Y128">
        <f t="shared" si="71"/>
        <v>-85.440287984700376</v>
      </c>
      <c r="Z128">
        <f t="shared" si="88"/>
        <v>94.559712015299624</v>
      </c>
      <c r="AC128">
        <v>1</v>
      </c>
      <c r="AD128">
        <f t="shared" si="72"/>
        <v>13.926805881156001</v>
      </c>
      <c r="AE128">
        <f t="shared" si="73"/>
        <v>-4.1127209934563482E-6</v>
      </c>
      <c r="AF128">
        <f t="shared" si="74"/>
        <v>7.7400674755110006E-4</v>
      </c>
      <c r="AG128">
        <f t="shared" si="89"/>
        <v>17985.759598705845</v>
      </c>
      <c r="AH128">
        <f t="shared" si="90"/>
        <v>-1387.5465743455327</v>
      </c>
      <c r="AJ128">
        <f t="shared" si="75"/>
        <v>18000</v>
      </c>
      <c r="AK128">
        <f t="shared" si="76"/>
        <v>31574.514096972001</v>
      </c>
      <c r="AL128">
        <v>1</v>
      </c>
      <c r="AM128">
        <f t="shared" si="77"/>
        <v>19.295536392593998</v>
      </c>
      <c r="AN128">
        <f t="shared" si="91"/>
        <v>1680.1966378043107</v>
      </c>
      <c r="AO128">
        <f t="shared" si="92"/>
        <v>-845.78127449514955</v>
      </c>
      <c r="AQ128">
        <f t="shared" si="78"/>
        <v>1.1316057485572026</v>
      </c>
      <c r="AR128">
        <f t="shared" si="79"/>
        <v>-106.37094036437705</v>
      </c>
      <c r="AT128">
        <f t="shared" si="104"/>
        <v>-127241.84495844091</v>
      </c>
      <c r="AU128">
        <f t="shared" si="105"/>
        <v>-1914732.3173618817</v>
      </c>
      <c r="AV128">
        <f t="shared" si="93"/>
        <v>-1.6371528781559381</v>
      </c>
      <c r="AW128">
        <f t="shared" si="94"/>
        <v>-46211.316790606383</v>
      </c>
      <c r="AX128">
        <f t="shared" si="95"/>
        <v>-195315.70039867252</v>
      </c>
      <c r="AY128">
        <f t="shared" si="103"/>
        <v>-1.8031221778909168</v>
      </c>
      <c r="BA128">
        <f t="shared" si="80"/>
        <v>9.5609310883188385</v>
      </c>
      <c r="BB128">
        <f t="shared" si="96"/>
        <v>19.610003759389873</v>
      </c>
      <c r="BC128">
        <f t="shared" si="97"/>
        <v>0.16596929973497865</v>
      </c>
      <c r="BD128">
        <f t="shared" si="81"/>
        <v>-170.49065958557799</v>
      </c>
      <c r="BF128">
        <f t="shared" si="82"/>
        <v>0.20184870431122851</v>
      </c>
      <c r="BG128">
        <f t="shared" si="83"/>
        <v>-98.239366055155912</v>
      </c>
      <c r="BH128">
        <f t="shared" si="98"/>
        <v>81.760633944844088</v>
      </c>
      <c r="BI128">
        <f t="shared" si="99"/>
        <v>81.760633944844088</v>
      </c>
      <c r="BJ128">
        <f t="shared" si="84"/>
        <v>0</v>
      </c>
      <c r="BK128">
        <f t="shared" si="100"/>
        <v>0</v>
      </c>
      <c r="BM128">
        <f t="shared" si="101"/>
        <v>-19.408155055078645</v>
      </c>
      <c r="BN128">
        <f t="shared" si="85"/>
        <v>-107.74870646957793</v>
      </c>
      <c r="BQ128" s="66">
        <f t="shared" si="102"/>
        <v>36.511964559675015</v>
      </c>
      <c r="BR128" s="71"/>
      <c r="BS128" s="71"/>
      <c r="BT128" s="71">
        <v>1513.5609999999999</v>
      </c>
      <c r="BU128" s="71">
        <v>11.5252</v>
      </c>
      <c r="BV128" s="71">
        <v>-257.61</v>
      </c>
      <c r="BW128" s="75"/>
      <c r="BY128" s="71"/>
      <c r="BZ128" s="71"/>
      <c r="CA128" s="71"/>
      <c r="CC128" s="71"/>
    </row>
    <row r="129" spans="1:81" x14ac:dyDescent="0.2">
      <c r="A129">
        <f t="shared" si="106"/>
        <v>47500</v>
      </c>
      <c r="B129">
        <f t="shared" si="86"/>
        <v>47.5</v>
      </c>
      <c r="C129">
        <f t="shared" si="55"/>
        <v>3.1193047822214464</v>
      </c>
      <c r="D129">
        <f t="shared" si="56"/>
        <v>1.2444500934948464</v>
      </c>
      <c r="F129">
        <f t="shared" si="57"/>
        <v>2.2612636052516295E-3</v>
      </c>
      <c r="G129">
        <f t="shared" si="58"/>
        <v>1.959047197861722E-2</v>
      </c>
      <c r="H129">
        <f t="shared" si="59"/>
        <v>-3.1220021780213831</v>
      </c>
      <c r="J129">
        <f t="shared" si="60"/>
        <v>15</v>
      </c>
      <c r="M129">
        <f t="shared" si="61"/>
        <v>7.1021034904206637E-2</v>
      </c>
      <c r="N129">
        <f t="shared" si="62"/>
        <v>-1.5707963250000001</v>
      </c>
      <c r="O129">
        <f t="shared" si="63"/>
        <v>14.11044274446269</v>
      </c>
      <c r="P129">
        <f t="shared" si="64"/>
        <v>1.499867370370868</v>
      </c>
      <c r="Q129">
        <f t="shared" si="65"/>
        <v>19.526431185713637</v>
      </c>
      <c r="R129">
        <f t="shared" si="66"/>
        <v>1.5195612787959352</v>
      </c>
      <c r="S129">
        <f t="shared" si="67"/>
        <v>0.49130574235972591</v>
      </c>
      <c r="T129">
        <f t="shared" si="68"/>
        <v>-1.0572080544220404</v>
      </c>
      <c r="U129">
        <f t="shared" si="69"/>
        <v>0.999985581465619</v>
      </c>
      <c r="V129">
        <f t="shared" si="70"/>
        <v>-5.3700221657315547E-3</v>
      </c>
      <c r="X129">
        <f t="shared" si="87"/>
        <v>0.1479270756297737</v>
      </c>
      <c r="Y129">
        <f t="shared" si="71"/>
        <v>-85.456531307631806</v>
      </c>
      <c r="Z129">
        <f t="shared" si="88"/>
        <v>94.543468692368194</v>
      </c>
      <c r="AC129">
        <v>1</v>
      </c>
      <c r="AD129">
        <f t="shared" si="72"/>
        <v>14.074963390530002</v>
      </c>
      <c r="AE129">
        <f t="shared" si="73"/>
        <v>-4.2006911459872735E-6</v>
      </c>
      <c r="AF129">
        <f t="shared" si="74"/>
        <v>7.8224086188675003E-4</v>
      </c>
      <c r="AG129">
        <f t="shared" si="89"/>
        <v>17985.748737166999</v>
      </c>
      <c r="AH129">
        <f t="shared" si="90"/>
        <v>-1374.9634260730854</v>
      </c>
      <c r="AJ129">
        <f t="shared" si="75"/>
        <v>18000</v>
      </c>
      <c r="AK129">
        <f t="shared" si="76"/>
        <v>31910.413183110002</v>
      </c>
      <c r="AL129">
        <v>1</v>
      </c>
      <c r="AM129">
        <f t="shared" si="77"/>
        <v>19.500808056344997</v>
      </c>
      <c r="AN129">
        <f t="shared" si="91"/>
        <v>1679.281102137073</v>
      </c>
      <c r="AO129">
        <f t="shared" si="92"/>
        <v>-836.92526231253464</v>
      </c>
      <c r="AQ129">
        <f t="shared" si="78"/>
        <v>1.1079104808331486</v>
      </c>
      <c r="AR129">
        <f t="shared" si="79"/>
        <v>-105.25149567914913</v>
      </c>
      <c r="AT129">
        <f t="shared" si="104"/>
        <v>-124790.35756678054</v>
      </c>
      <c r="AU129">
        <f t="shared" si="105"/>
        <v>-1894550.2918867029</v>
      </c>
      <c r="AV129">
        <f t="shared" si="93"/>
        <v>-1.6365693783529311</v>
      </c>
      <c r="AW129">
        <f t="shared" si="94"/>
        <v>-44369.317539597476</v>
      </c>
      <c r="AX129">
        <f t="shared" si="95"/>
        <v>-193148.3672175844</v>
      </c>
      <c r="AY129">
        <f t="shared" si="103"/>
        <v>-1.7965951990427516</v>
      </c>
      <c r="BA129">
        <f t="shared" si="80"/>
        <v>9.5805075305968543</v>
      </c>
      <c r="BB129">
        <f t="shared" si="96"/>
        <v>19.62777033167351</v>
      </c>
      <c r="BC129">
        <f t="shared" si="97"/>
        <v>0.16002582068982041</v>
      </c>
      <c r="BD129">
        <f t="shared" si="81"/>
        <v>-170.83119585087911</v>
      </c>
      <c r="BF129">
        <f t="shared" si="82"/>
        <v>0.11777559116145028</v>
      </c>
      <c r="BG129">
        <f t="shared" si="83"/>
        <v>-98.407006233162946</v>
      </c>
      <c r="BH129">
        <f t="shared" si="98"/>
        <v>81.592993766837054</v>
      </c>
      <c r="BI129">
        <f t="shared" si="99"/>
        <v>81.592993766837054</v>
      </c>
      <c r="BJ129">
        <f t="shared" si="84"/>
        <v>0</v>
      </c>
      <c r="BK129">
        <f t="shared" si="100"/>
        <v>0</v>
      </c>
      <c r="BM129">
        <f t="shared" si="101"/>
        <v>-19.509994740512056</v>
      </c>
      <c r="BN129">
        <f t="shared" si="85"/>
        <v>-107.57581038228385</v>
      </c>
      <c r="BQ129" s="66">
        <f t="shared" si="102"/>
        <v>36.529731131958641</v>
      </c>
      <c r="BR129" s="71"/>
      <c r="BS129" s="71"/>
      <c r="BT129" s="71">
        <v>1548.817</v>
      </c>
      <c r="BU129" s="71">
        <v>11.3354</v>
      </c>
      <c r="BV129" s="71">
        <v>-257.471</v>
      </c>
      <c r="BW129" s="75"/>
      <c r="BY129" s="71"/>
      <c r="BZ129" s="71"/>
      <c r="CA129" s="71"/>
      <c r="CC129" s="71"/>
    </row>
    <row r="130" spans="1:81" x14ac:dyDescent="0.2">
      <c r="A130">
        <f t="shared" si="106"/>
        <v>48000</v>
      </c>
      <c r="B130">
        <f t="shared" si="86"/>
        <v>48</v>
      </c>
      <c r="C130">
        <f t="shared" si="55"/>
        <v>3.1487807846992695</v>
      </c>
      <c r="D130">
        <f t="shared" si="56"/>
        <v>1.2476166376989335</v>
      </c>
      <c r="F130">
        <f t="shared" si="57"/>
        <v>2.2143034831326241E-3</v>
      </c>
      <c r="G130">
        <f t="shared" si="58"/>
        <v>1.9385539822485868E-2</v>
      </c>
      <c r="H130">
        <f t="shared" si="59"/>
        <v>-3.1222071101775142</v>
      </c>
      <c r="J130">
        <f t="shared" si="60"/>
        <v>15</v>
      </c>
      <c r="M130">
        <f t="shared" si="61"/>
        <v>7.0281232457287818E-2</v>
      </c>
      <c r="N130">
        <f t="shared" si="62"/>
        <v>-1.5707963250000001</v>
      </c>
      <c r="O130">
        <f t="shared" si="63"/>
        <v>14.258231592076418</v>
      </c>
      <c r="P130">
        <f t="shared" si="64"/>
        <v>1.5006037765135201</v>
      </c>
      <c r="Q130">
        <f t="shared" si="65"/>
        <v>19.731436286666483</v>
      </c>
      <c r="R130">
        <f t="shared" si="66"/>
        <v>1.5200940582250635</v>
      </c>
      <c r="S130">
        <f t="shared" si="67"/>
        <v>0.48740865467105371</v>
      </c>
      <c r="T130">
        <f t="shared" si="68"/>
        <v>-1.0616767712905972</v>
      </c>
      <c r="U130">
        <f t="shared" si="69"/>
        <v>0.99998527632664436</v>
      </c>
      <c r="V130">
        <f t="shared" si="70"/>
        <v>-5.4265476109232498E-3</v>
      </c>
      <c r="X130">
        <f t="shared" si="87"/>
        <v>6.8428069928984911E-2</v>
      </c>
      <c r="Y130">
        <f t="shared" si="71"/>
        <v>-85.473401745918011</v>
      </c>
      <c r="Z130">
        <f t="shared" si="88"/>
        <v>94.526598254081989</v>
      </c>
      <c r="AC130">
        <v>1</v>
      </c>
      <c r="AD130">
        <f t="shared" si="72"/>
        <v>14.223120899904</v>
      </c>
      <c r="AE130">
        <f t="shared" si="73"/>
        <v>-4.2895921996031812E-6</v>
      </c>
      <c r="AF130">
        <f t="shared" si="74"/>
        <v>7.904749762224E-4</v>
      </c>
      <c r="AG130">
        <f t="shared" si="89"/>
        <v>17985.737760704556</v>
      </c>
      <c r="AH130">
        <f t="shared" si="90"/>
        <v>-1362.663604545744</v>
      </c>
      <c r="AJ130">
        <f t="shared" si="75"/>
        <v>18000</v>
      </c>
      <c r="AK130">
        <f t="shared" si="76"/>
        <v>32246.312269247996</v>
      </c>
      <c r="AL130">
        <v>1</v>
      </c>
      <c r="AM130">
        <f t="shared" si="77"/>
        <v>19.706079720096</v>
      </c>
      <c r="AN130">
        <f t="shared" si="91"/>
        <v>1678.3939296961853</v>
      </c>
      <c r="AO130">
        <f t="shared" si="92"/>
        <v>-828.25231107023558</v>
      </c>
      <c r="AQ130">
        <f t="shared" si="78"/>
        <v>1.0849517196484757</v>
      </c>
      <c r="AR130">
        <f t="shared" si="79"/>
        <v>-104.15536508625367</v>
      </c>
      <c r="AT130">
        <f t="shared" si="104"/>
        <v>-122415.06810858942</v>
      </c>
      <c r="AU130">
        <f t="shared" si="105"/>
        <v>-1874789.5070328556</v>
      </c>
      <c r="AV130">
        <f t="shared" si="93"/>
        <v>-1.6359991347562268</v>
      </c>
      <c r="AW130">
        <f t="shared" si="94"/>
        <v>-42584.33031481388</v>
      </c>
      <c r="AX130">
        <f t="shared" si="95"/>
        <v>-191029.78768223626</v>
      </c>
      <c r="AY130">
        <f t="shared" si="103"/>
        <v>-1.7901299661208905</v>
      </c>
      <c r="BA130">
        <f t="shared" si="80"/>
        <v>9.5993992216785067</v>
      </c>
      <c r="BB130">
        <f t="shared" si="96"/>
        <v>19.644881071469754</v>
      </c>
      <c r="BC130">
        <f t="shared" si="97"/>
        <v>0.15413083136466366</v>
      </c>
      <c r="BD130">
        <f t="shared" si="81"/>
        <v>-171.16895385987121</v>
      </c>
      <c r="BF130">
        <f t="shared" si="82"/>
        <v>3.4297646481351036E-2</v>
      </c>
      <c r="BG130">
        <f t="shared" si="83"/>
        <v>-98.575076371058174</v>
      </c>
      <c r="BH130">
        <f t="shared" si="98"/>
        <v>81.424923628941826</v>
      </c>
      <c r="BI130">
        <f t="shared" si="99"/>
        <v>81.424923628941826</v>
      </c>
      <c r="BJ130">
        <f t="shared" si="84"/>
        <v>48000</v>
      </c>
      <c r="BK130">
        <f t="shared" si="100"/>
        <v>81.424923628941826</v>
      </c>
      <c r="BM130">
        <f t="shared" si="101"/>
        <v>-19.610583424988405</v>
      </c>
      <c r="BN130">
        <f t="shared" si="85"/>
        <v>-107.40612251118696</v>
      </c>
      <c r="BQ130" s="66">
        <f t="shared" si="102"/>
        <v>36.546841871754893</v>
      </c>
      <c r="BR130" s="71"/>
      <c r="BS130" s="71"/>
      <c r="BT130" s="71">
        <v>1584.893</v>
      </c>
      <c r="BU130" s="71">
        <v>11.160399999999999</v>
      </c>
      <c r="BV130" s="71">
        <v>-256.94200000000001</v>
      </c>
      <c r="BW130" s="75"/>
      <c r="BY130" s="71"/>
      <c r="BZ130" s="71"/>
      <c r="CA130" s="71"/>
      <c r="CC130" s="71"/>
    </row>
    <row r="131" spans="1:81" x14ac:dyDescent="0.2">
      <c r="A131">
        <f t="shared" si="106"/>
        <v>48500</v>
      </c>
      <c r="B131">
        <f t="shared" si="86"/>
        <v>48.5</v>
      </c>
      <c r="C131">
        <f t="shared" si="55"/>
        <v>3.178287774202234</v>
      </c>
      <c r="D131">
        <f t="shared" si="56"/>
        <v>1.2507244166584444</v>
      </c>
      <c r="F131">
        <f t="shared" si="57"/>
        <v>2.1687921141558598E-3</v>
      </c>
      <c r="G131">
        <f t="shared" si="58"/>
        <v>1.9184859472237629E-2</v>
      </c>
      <c r="H131">
        <f t="shared" si="59"/>
        <v>-3.1224077905277627</v>
      </c>
      <c r="J131">
        <f t="shared" si="60"/>
        <v>15</v>
      </c>
      <c r="M131">
        <f t="shared" si="61"/>
        <v>6.955668366906835E-2</v>
      </c>
      <c r="N131">
        <f t="shared" si="62"/>
        <v>-1.5707963250000001</v>
      </c>
      <c r="O131">
        <f t="shared" si="63"/>
        <v>14.406028013195728</v>
      </c>
      <c r="P131">
        <f t="shared" si="64"/>
        <v>1.501325072950324</v>
      </c>
      <c r="Q131">
        <f t="shared" si="65"/>
        <v>19.936446873277745</v>
      </c>
      <c r="R131">
        <f t="shared" si="66"/>
        <v>1.5206158804387273</v>
      </c>
      <c r="S131">
        <f t="shared" si="67"/>
        <v>0.48356347505133829</v>
      </c>
      <c r="T131">
        <f t="shared" si="68"/>
        <v>-1.0660750671922772</v>
      </c>
      <c r="U131">
        <f t="shared" si="69"/>
        <v>0.99998496799278114</v>
      </c>
      <c r="V131">
        <f t="shared" si="70"/>
        <v>-5.4830730214376197E-3</v>
      </c>
      <c r="X131">
        <f t="shared" si="87"/>
        <v>-1.0395088857633263E-2</v>
      </c>
      <c r="Y131">
        <f t="shared" si="71"/>
        <v>-85.490854272566722</v>
      </c>
      <c r="Z131">
        <f t="shared" si="88"/>
        <v>94.509145727433278</v>
      </c>
      <c r="AC131">
        <v>1</v>
      </c>
      <c r="AD131">
        <f t="shared" si="72"/>
        <v>14.371278409278002</v>
      </c>
      <c r="AE131">
        <f t="shared" si="73"/>
        <v>-4.3794241543040714E-6</v>
      </c>
      <c r="AF131">
        <f t="shared" si="74"/>
        <v>7.9870909055804998E-4</v>
      </c>
      <c r="AG131">
        <f t="shared" si="89"/>
        <v>17985.726669318956</v>
      </c>
      <c r="AH131">
        <f t="shared" si="90"/>
        <v>-1350.638347003917</v>
      </c>
      <c r="AJ131">
        <f t="shared" si="75"/>
        <v>18000</v>
      </c>
      <c r="AK131">
        <f t="shared" si="76"/>
        <v>32582.211355385996</v>
      </c>
      <c r="AL131">
        <v>1</v>
      </c>
      <c r="AM131">
        <f t="shared" si="77"/>
        <v>19.911351383846998</v>
      </c>
      <c r="AN131">
        <f t="shared" si="91"/>
        <v>1677.5339618466357</v>
      </c>
      <c r="AO131">
        <f t="shared" si="92"/>
        <v>-819.75681727935842</v>
      </c>
      <c r="AQ131">
        <f t="shared" si="78"/>
        <v>1.0626992561105206</v>
      </c>
      <c r="AR131">
        <f t="shared" si="79"/>
        <v>-103.08182784272051</v>
      </c>
      <c r="AT131">
        <f t="shared" si="104"/>
        <v>-120112.85121154197</v>
      </c>
      <c r="AU131">
        <f t="shared" si="105"/>
        <v>-1855436.9025195991</v>
      </c>
      <c r="AV131">
        <f t="shared" si="93"/>
        <v>-1.6354417405146635</v>
      </c>
      <c r="AW131">
        <f t="shared" si="94"/>
        <v>-40854.028917721524</v>
      </c>
      <c r="AX131">
        <f t="shared" si="95"/>
        <v>-188958.31032055168</v>
      </c>
      <c r="AY131">
        <f t="shared" si="103"/>
        <v>-1.7837254648492848</v>
      </c>
      <c r="BA131">
        <f t="shared" si="80"/>
        <v>9.6176237811155048</v>
      </c>
      <c r="BB131">
        <f t="shared" si="96"/>
        <v>19.661355689770957</v>
      </c>
      <c r="BC131">
        <f t="shared" si="97"/>
        <v>0.14828372433462134</v>
      </c>
      <c r="BD131">
        <f t="shared" si="81"/>
        <v>-171.50396841543673</v>
      </c>
      <c r="BF131">
        <f t="shared" si="82"/>
        <v>-4.8596273618522472E-2</v>
      </c>
      <c r="BG131">
        <f t="shared" si="83"/>
        <v>-98.743526445494268</v>
      </c>
      <c r="BH131">
        <f t="shared" si="98"/>
        <v>81.256473554505732</v>
      </c>
      <c r="BI131">
        <f t="shared" si="99"/>
        <v>81.256473554505732</v>
      </c>
      <c r="BJ131">
        <f t="shared" si="84"/>
        <v>0</v>
      </c>
      <c r="BK131">
        <f t="shared" si="100"/>
        <v>0</v>
      </c>
      <c r="BM131">
        <f t="shared" si="101"/>
        <v>-19.709951963389482</v>
      </c>
      <c r="BN131">
        <f t="shared" si="85"/>
        <v>-107.23955803005755</v>
      </c>
      <c r="BQ131" s="66">
        <f t="shared" si="102"/>
        <v>36.563316490056096</v>
      </c>
      <c r="BR131" s="71"/>
      <c r="BS131" s="71"/>
      <c r="BT131" s="71">
        <v>1621.81</v>
      </c>
      <c r="BU131" s="71">
        <v>10.9787</v>
      </c>
      <c r="BV131" s="71">
        <v>-256.75299999999999</v>
      </c>
      <c r="BW131" s="75"/>
      <c r="BY131" s="71"/>
      <c r="BZ131" s="71"/>
      <c r="CA131" s="71"/>
      <c r="CC131" s="71"/>
    </row>
    <row r="132" spans="1:81" x14ac:dyDescent="0.2">
      <c r="A132">
        <f t="shared" si="106"/>
        <v>49000</v>
      </c>
      <c r="B132">
        <f t="shared" si="86"/>
        <v>49</v>
      </c>
      <c r="C132">
        <f t="shared" si="55"/>
        <v>3.207824895633443</v>
      </c>
      <c r="D132">
        <f t="shared" si="56"/>
        <v>1.253774992801044</v>
      </c>
      <c r="F132">
        <f t="shared" si="57"/>
        <v>2.1246704740361028E-3</v>
      </c>
      <c r="G132">
        <f t="shared" si="58"/>
        <v>1.8988299706035515E-2</v>
      </c>
      <c r="H132">
        <f t="shared" si="59"/>
        <v>-3.1226043502939649</v>
      </c>
      <c r="J132">
        <f t="shared" si="60"/>
        <v>15</v>
      </c>
      <c r="M132">
        <f t="shared" si="61"/>
        <v>6.8846921590812557E-2</v>
      </c>
      <c r="N132">
        <f t="shared" si="62"/>
        <v>-1.5707963250000001</v>
      </c>
      <c r="O132">
        <f t="shared" si="63"/>
        <v>14.553831777090249</v>
      </c>
      <c r="P132">
        <f t="shared" si="64"/>
        <v>1.5020317192661636</v>
      </c>
      <c r="Q132">
        <f t="shared" si="65"/>
        <v>20.141462778039511</v>
      </c>
      <c r="R132">
        <f t="shared" si="66"/>
        <v>1.5211270797421994</v>
      </c>
      <c r="S132">
        <f t="shared" si="67"/>
        <v>0.47976942575858578</v>
      </c>
      <c r="T132">
        <f t="shared" si="68"/>
        <v>-1.0704044275088138</v>
      </c>
      <c r="U132">
        <f t="shared" si="69"/>
        <v>0.999984656464038</v>
      </c>
      <c r="V132">
        <f t="shared" si="70"/>
        <v>-5.5395983969134836E-3</v>
      </c>
      <c r="X132">
        <f t="shared" si="87"/>
        <v>-8.8554304095355779E-2</v>
      </c>
      <c r="Y132">
        <f t="shared" si="71"/>
        <v>-85.508846505052574</v>
      </c>
      <c r="Z132">
        <f t="shared" si="88"/>
        <v>94.491153494947426</v>
      </c>
      <c r="AC132">
        <v>1</v>
      </c>
      <c r="AD132">
        <f t="shared" si="72"/>
        <v>14.519435918652002</v>
      </c>
      <c r="AE132">
        <f t="shared" si="73"/>
        <v>-4.4701870100899457E-6</v>
      </c>
      <c r="AF132">
        <f t="shared" si="74"/>
        <v>8.0694320489370006E-4</v>
      </c>
      <c r="AG132">
        <f t="shared" si="89"/>
        <v>17985.715463010594</v>
      </c>
      <c r="AH132">
        <f t="shared" si="90"/>
        <v>-1338.8792483508757</v>
      </c>
      <c r="AJ132">
        <f t="shared" si="75"/>
        <v>18000</v>
      </c>
      <c r="AK132">
        <f t="shared" si="76"/>
        <v>32918.110441523997</v>
      </c>
      <c r="AL132">
        <v>1</v>
      </c>
      <c r="AM132">
        <f t="shared" si="77"/>
        <v>20.116623047597997</v>
      </c>
      <c r="AN132">
        <f t="shared" si="91"/>
        <v>1676.7000984694314</v>
      </c>
      <c r="AO132">
        <f t="shared" si="92"/>
        <v>-811.43340325600184</v>
      </c>
      <c r="AQ132">
        <f t="shared" si="78"/>
        <v>1.0411244143675169</v>
      </c>
      <c r="AR132">
        <f t="shared" si="79"/>
        <v>-102.03019260801666</v>
      </c>
      <c r="AT132">
        <f t="shared" si="104"/>
        <v>-117880.74010970873</v>
      </c>
      <c r="AU132">
        <f t="shared" si="105"/>
        <v>-1836479.9527573027</v>
      </c>
      <c r="AV132">
        <f t="shared" si="93"/>
        <v>-1.6348968052265886</v>
      </c>
      <c r="AW132">
        <f t="shared" si="94"/>
        <v>-39176.204469109398</v>
      </c>
      <c r="AX132">
        <f t="shared" si="95"/>
        <v>-186932.35824557461</v>
      </c>
      <c r="AY132">
        <f t="shared" si="103"/>
        <v>-1.7773806965702952</v>
      </c>
      <c r="BA132">
        <f t="shared" si="80"/>
        <v>9.6351983075840533</v>
      </c>
      <c r="BB132">
        <f t="shared" si="96"/>
        <v>19.677213150982908</v>
      </c>
      <c r="BC132">
        <f t="shared" si="97"/>
        <v>0.14248389134370654</v>
      </c>
      <c r="BD132">
        <f t="shared" si="81"/>
        <v>-171.8362743680766</v>
      </c>
      <c r="BF132">
        <f t="shared" si="82"/>
        <v>-0.13091694288215888</v>
      </c>
      <c r="BG132">
        <f t="shared" si="83"/>
        <v>-98.912309304918494</v>
      </c>
      <c r="BH132">
        <f t="shared" si="98"/>
        <v>81.087690695081506</v>
      </c>
      <c r="BI132">
        <f t="shared" si="99"/>
        <v>81.087690695081506</v>
      </c>
      <c r="BJ132">
        <f t="shared" si="84"/>
        <v>0</v>
      </c>
      <c r="BK132">
        <f t="shared" si="100"/>
        <v>0</v>
      </c>
      <c r="BM132">
        <f t="shared" si="101"/>
        <v>-19.808130093865067</v>
      </c>
      <c r="BN132">
        <f t="shared" si="85"/>
        <v>-107.07603493684191</v>
      </c>
      <c r="BQ132" s="66">
        <f t="shared" si="102"/>
        <v>36.579173951268046</v>
      </c>
      <c r="BR132" s="71"/>
      <c r="BS132" s="71"/>
      <c r="BT132" s="71">
        <v>1659.587</v>
      </c>
      <c r="BU132" s="71">
        <v>10.7578</v>
      </c>
      <c r="BV132" s="71">
        <v>-256.85699999999997</v>
      </c>
      <c r="BW132" s="75"/>
      <c r="BY132" s="71"/>
      <c r="BZ132" s="71"/>
      <c r="CA132" s="71"/>
      <c r="CC132" s="71"/>
    </row>
    <row r="133" spans="1:81" x14ac:dyDescent="0.2">
      <c r="A133">
        <f t="shared" si="106"/>
        <v>49500</v>
      </c>
      <c r="B133">
        <f t="shared" si="86"/>
        <v>49.5</v>
      </c>
      <c r="C133">
        <f t="shared" si="55"/>
        <v>3.2373913242452348</v>
      </c>
      <c r="D133">
        <f t="shared" si="56"/>
        <v>1.2567698758235613</v>
      </c>
      <c r="F133">
        <f t="shared" si="57"/>
        <v>2.0818825159435194E-3</v>
      </c>
      <c r="G133">
        <f t="shared" si="58"/>
        <v>1.87957346570851E-2</v>
      </c>
      <c r="H133">
        <f t="shared" si="59"/>
        <v>-3.1227969153429149</v>
      </c>
      <c r="J133">
        <f t="shared" si="60"/>
        <v>15</v>
      </c>
      <c r="M133">
        <f t="shared" si="61"/>
        <v>6.8151498140400307E-2</v>
      </c>
      <c r="N133">
        <f t="shared" si="62"/>
        <v>-1.5707963250000001</v>
      </c>
      <c r="O133">
        <f t="shared" si="63"/>
        <v>14.701642662297012</v>
      </c>
      <c r="P133">
        <f t="shared" si="64"/>
        <v>1.5027241566230984</v>
      </c>
      <c r="Q133">
        <f t="shared" si="65"/>
        <v>20.346483840191024</v>
      </c>
      <c r="R133">
        <f t="shared" si="66"/>
        <v>1.5216279769889998</v>
      </c>
      <c r="S133">
        <f t="shared" si="67"/>
        <v>0.47602573443033913</v>
      </c>
      <c r="T133">
        <f t="shared" si="68"/>
        <v>-1.0746663017641582</v>
      </c>
      <c r="U133">
        <f t="shared" si="69"/>
        <v>0.99998434174042394</v>
      </c>
      <c r="V133">
        <f t="shared" si="70"/>
        <v>-5.5961237369896678E-3</v>
      </c>
      <c r="X133">
        <f t="shared" si="87"/>
        <v>-0.16606111043533123</v>
      </c>
      <c r="Y133">
        <f t="shared" si="71"/>
        <v>-85.5273385470623</v>
      </c>
      <c r="Z133">
        <f t="shared" si="88"/>
        <v>94.4726614529377</v>
      </c>
      <c r="AC133">
        <v>1</v>
      </c>
      <c r="AD133">
        <f t="shared" si="72"/>
        <v>14.667593428026002</v>
      </c>
      <c r="AE133">
        <f t="shared" si="73"/>
        <v>-4.5618807669608041E-6</v>
      </c>
      <c r="AF133">
        <f t="shared" si="74"/>
        <v>8.1517731922935014E-4</v>
      </c>
      <c r="AG133">
        <f t="shared" si="89"/>
        <v>17985.704141779916</v>
      </c>
      <c r="AH133">
        <f t="shared" si="90"/>
        <v>-1327.3782430889721</v>
      </c>
      <c r="AJ133">
        <f t="shared" si="75"/>
        <v>18000</v>
      </c>
      <c r="AK133">
        <f t="shared" si="76"/>
        <v>33254.009527661998</v>
      </c>
      <c r="AL133">
        <v>1</v>
      </c>
      <c r="AM133">
        <f t="shared" si="77"/>
        <v>20.321894711349</v>
      </c>
      <c r="AN133">
        <f t="shared" si="91"/>
        <v>1675.891294453558</v>
      </c>
      <c r="AO133">
        <f t="shared" si="92"/>
        <v>-803.27690588958978</v>
      </c>
      <c r="AQ133">
        <f t="shared" si="78"/>
        <v>1.0201999591920017</v>
      </c>
      <c r="AR133">
        <f t="shared" si="79"/>
        <v>-100.99979596000816</v>
      </c>
      <c r="AT133">
        <f t="shared" si="104"/>
        <v>-115715.917082257</v>
      </c>
      <c r="AU133">
        <f t="shared" si="105"/>
        <v>-1817906.6397462767</v>
      </c>
      <c r="AV133">
        <f t="shared" si="93"/>
        <v>-1.6343639541183623</v>
      </c>
      <c r="AW133">
        <f t="shared" si="94"/>
        <v>-37548.758387130409</v>
      </c>
      <c r="AX133">
        <f t="shared" si="95"/>
        <v>-184950.42496267799</v>
      </c>
      <c r="AY133">
        <f t="shared" si="103"/>
        <v>-1.7710946784595951</v>
      </c>
      <c r="BA133">
        <f t="shared" si="80"/>
        <v>9.6521393943528295</v>
      </c>
      <c r="BB133">
        <f t="shared" si="96"/>
        <v>19.692471705599242</v>
      </c>
      <c r="BC133">
        <f t="shared" si="97"/>
        <v>0.13673072434123279</v>
      </c>
      <c r="BD133">
        <f t="shared" si="81"/>
        <v>-172.16590655652894</v>
      </c>
      <c r="BF133">
        <f t="shared" si="82"/>
        <v>-0.21267478433334319</v>
      </c>
      <c r="BG133">
        <f t="shared" si="83"/>
        <v>-99.081380500448304</v>
      </c>
      <c r="BH133">
        <f t="shared" si="98"/>
        <v>80.918619499551696</v>
      </c>
      <c r="BI133">
        <f t="shared" si="99"/>
        <v>80.918619499551696</v>
      </c>
      <c r="BJ133">
        <f t="shared" si="84"/>
        <v>0</v>
      </c>
      <c r="BK133">
        <f t="shared" si="100"/>
        <v>0</v>
      </c>
      <c r="BM133">
        <f t="shared" si="101"/>
        <v>-19.905146489932584</v>
      </c>
      <c r="BN133">
        <f t="shared" si="85"/>
        <v>-106.91547394391938</v>
      </c>
      <c r="BQ133" s="66">
        <f t="shared" si="102"/>
        <v>36.594432505884377</v>
      </c>
      <c r="BR133" s="71"/>
      <c r="BS133" s="71"/>
      <c r="BT133" s="71">
        <v>1698.2439999999999</v>
      </c>
      <c r="BU133" s="71">
        <v>10.580500000000001</v>
      </c>
      <c r="BV133" s="71">
        <v>-256.31299999999999</v>
      </c>
      <c r="BW133" s="75"/>
      <c r="BY133" s="71"/>
      <c r="BZ133" s="71"/>
      <c r="CA133" s="71"/>
      <c r="CC133" s="71"/>
    </row>
    <row r="134" spans="1:81" x14ac:dyDescent="0.2">
      <c r="A134">
        <f t="shared" si="106"/>
        <v>50000</v>
      </c>
      <c r="B134">
        <f t="shared" si="86"/>
        <v>50</v>
      </c>
      <c r="C134">
        <f t="shared" si="55"/>
        <v>3.2669862643422913</v>
      </c>
      <c r="D134">
        <f t="shared" si="56"/>
        <v>1.2597105247967653</v>
      </c>
      <c r="F134">
        <f t="shared" si="57"/>
        <v>2.0403749919601227E-3</v>
      </c>
      <c r="G134">
        <f t="shared" si="58"/>
        <v>1.8607043542727512E-2</v>
      </c>
      <c r="H134">
        <f t="shared" si="59"/>
        <v>-3.1229856064572727</v>
      </c>
      <c r="J134">
        <f t="shared" si="60"/>
        <v>15</v>
      </c>
      <c r="M134">
        <f t="shared" si="61"/>
        <v>6.7469983158996299E-2</v>
      </c>
      <c r="N134">
        <f t="shared" si="62"/>
        <v>-1.5707963250000001</v>
      </c>
      <c r="O134">
        <f t="shared" si="63"/>
        <v>14.849460456160319</v>
      </c>
      <c r="P134">
        <f t="shared" si="64"/>
        <v>1.5034028086729159</v>
      </c>
      <c r="Q134">
        <f t="shared" si="65"/>
        <v>20.551509905382527</v>
      </c>
      <c r="R134">
        <f t="shared" si="66"/>
        <v>1.5221188802502119</v>
      </c>
      <c r="S134">
        <f t="shared" si="67"/>
        <v>0.47233163467935002</v>
      </c>
      <c r="T134">
        <f t="shared" si="68"/>
        <v>-1.0788621044524151</v>
      </c>
      <c r="U134">
        <f t="shared" si="69"/>
        <v>0.99998402382194784</v>
      </c>
      <c r="V134">
        <f t="shared" si="70"/>
        <v>-5.6526490413049933E-3</v>
      </c>
      <c r="X134">
        <f t="shared" si="87"/>
        <v>-0.24292669195962474</v>
      </c>
      <c r="Y134">
        <f t="shared" si="71"/>
        <v>-85.546292840224808</v>
      </c>
      <c r="Z134">
        <f t="shared" si="88"/>
        <v>94.453707159775192</v>
      </c>
      <c r="AC134">
        <v>1</v>
      </c>
      <c r="AD134">
        <f t="shared" si="72"/>
        <v>14.815750937400001</v>
      </c>
      <c r="AE134">
        <f t="shared" si="73"/>
        <v>-4.6545054249166458E-6</v>
      </c>
      <c r="AF134">
        <f t="shared" si="74"/>
        <v>8.23411433565E-4</v>
      </c>
      <c r="AG134">
        <f t="shared" si="89"/>
        <v>17985.69270562736</v>
      </c>
      <c r="AH134">
        <f t="shared" si="90"/>
        <v>-1316.127588339685</v>
      </c>
      <c r="AJ134">
        <f t="shared" si="75"/>
        <v>18000</v>
      </c>
      <c r="AK134">
        <f t="shared" si="76"/>
        <v>33589.908613799998</v>
      </c>
      <c r="AL134">
        <v>1</v>
      </c>
      <c r="AM134">
        <f t="shared" si="77"/>
        <v>20.527166375100002</v>
      </c>
      <c r="AN134">
        <f t="shared" si="91"/>
        <v>1675.1065564306734</v>
      </c>
      <c r="AO134">
        <f t="shared" si="92"/>
        <v>-795.28236607327619</v>
      </c>
      <c r="AQ134">
        <f t="shared" si="78"/>
        <v>0.99990000999900008</v>
      </c>
      <c r="AR134">
        <f t="shared" si="79"/>
        <v>-99.990000999900005</v>
      </c>
      <c r="AT134">
        <f t="shared" si="104"/>
        <v>-113615.70455788533</v>
      </c>
      <c r="AU134">
        <f t="shared" si="105"/>
        <v>-1799705.4276083147</v>
      </c>
      <c r="AV134">
        <f t="shared" si="93"/>
        <v>-1.6338428272715169</v>
      </c>
      <c r="AW134">
        <f t="shared" si="94"/>
        <v>-35969.695850330274</v>
      </c>
      <c r="AX134">
        <f t="shared" si="95"/>
        <v>-183011.07045750335</v>
      </c>
      <c r="AY134">
        <f t="shared" si="103"/>
        <v>-1.7648664436881245</v>
      </c>
      <c r="BA134">
        <f t="shared" si="80"/>
        <v>9.6684631444310618</v>
      </c>
      <c r="BB134">
        <f t="shared" si="96"/>
        <v>19.707148921292866</v>
      </c>
      <c r="BC134">
        <f t="shared" si="97"/>
        <v>0.13102361641660765</v>
      </c>
      <c r="BD134">
        <f t="shared" si="81"/>
        <v>-172.49289975420928</v>
      </c>
      <c r="BF134">
        <f t="shared" si="82"/>
        <v>-0.29387988835795648</v>
      </c>
      <c r="BG134">
        <f t="shared" si="83"/>
        <v>-99.250698127238721</v>
      </c>
      <c r="BH134">
        <f t="shared" si="98"/>
        <v>80.749301872761279</v>
      </c>
      <c r="BI134">
        <f t="shared" si="99"/>
        <v>80.749301872761279</v>
      </c>
      <c r="BJ134">
        <f t="shared" si="84"/>
        <v>0</v>
      </c>
      <c r="BK134">
        <f t="shared" si="100"/>
        <v>0</v>
      </c>
      <c r="BM134">
        <f t="shared" si="101"/>
        <v>-20.001028809650826</v>
      </c>
      <c r="BN134">
        <f t="shared" si="85"/>
        <v>-106.75779837302946</v>
      </c>
      <c r="BQ134" s="66">
        <f t="shared" si="102"/>
        <v>36.609109721578001</v>
      </c>
      <c r="BR134" s="71"/>
      <c r="BS134" s="71"/>
      <c r="BT134" s="71">
        <v>1737.8009999999999</v>
      </c>
      <c r="BU134" s="71">
        <v>10.4643</v>
      </c>
      <c r="BV134" s="71">
        <v>-256.37900000000002</v>
      </c>
      <c r="BW134" s="75"/>
      <c r="BY134" s="71"/>
      <c r="BZ134" s="71"/>
      <c r="CA134" s="71"/>
      <c r="CC134" s="71"/>
    </row>
    <row r="135" spans="1:81" x14ac:dyDescent="0.2">
      <c r="A135">
        <f t="shared" si="106"/>
        <v>50500</v>
      </c>
      <c r="B135">
        <f t="shared" si="86"/>
        <v>50.5</v>
      </c>
      <c r="C135">
        <f t="shared" si="55"/>
        <v>3.29660894804864</v>
      </c>
      <c r="D135">
        <f t="shared" si="56"/>
        <v>1.2625983501758202</v>
      </c>
      <c r="F135">
        <f t="shared" si="57"/>
        <v>2.0000972869107102E-3</v>
      </c>
      <c r="G135">
        <f t="shared" si="58"/>
        <v>1.8422110409842443E-2</v>
      </c>
      <c r="H135">
        <f t="shared" si="59"/>
        <v>-3.1231705395901579</v>
      </c>
      <c r="J135">
        <f t="shared" si="60"/>
        <v>15</v>
      </c>
      <c r="M135">
        <f t="shared" si="61"/>
        <v>6.6801963523758709E-2</v>
      </c>
      <c r="N135">
        <f t="shared" si="62"/>
        <v>-1.5707963250000001</v>
      </c>
      <c r="O135">
        <f t="shared" si="63"/>
        <v>14.997284954398724</v>
      </c>
      <c r="P135">
        <f t="shared" si="64"/>
        <v>1.5040680824160562</v>
      </c>
      <c r="Q135">
        <f t="shared" si="65"/>
        <v>20.756540825359025</v>
      </c>
      <c r="R135">
        <f t="shared" si="66"/>
        <v>1.522600085444261</v>
      </c>
      <c r="S135">
        <f t="shared" si="67"/>
        <v>0.46868636662846713</v>
      </c>
      <c r="T135">
        <f t="shared" si="68"/>
        <v>-1.0829932158572406</v>
      </c>
      <c r="U135">
        <f t="shared" si="69"/>
        <v>0.99998370270861892</v>
      </c>
      <c r="V135">
        <f t="shared" si="70"/>
        <v>-5.7091743094982855E-3</v>
      </c>
      <c r="X135">
        <f t="shared" si="87"/>
        <v>-0.31916189912552761</v>
      </c>
      <c r="Y135">
        <f t="shared" si="71"/>
        <v>-85.56567402515941</v>
      </c>
      <c r="Z135">
        <f t="shared" si="88"/>
        <v>94.43432597484059</v>
      </c>
      <c r="AC135">
        <v>1</v>
      </c>
      <c r="AD135">
        <f t="shared" si="72"/>
        <v>14.963908446774001</v>
      </c>
      <c r="AE135">
        <f t="shared" si="73"/>
        <v>-4.7480609839574707E-6</v>
      </c>
      <c r="AF135">
        <f t="shared" si="74"/>
        <v>8.3164554790064998E-4</v>
      </c>
      <c r="AG135">
        <f t="shared" si="89"/>
        <v>17985.681154553367</v>
      </c>
      <c r="AH135">
        <f t="shared" si="90"/>
        <v>-1305.1198478723747</v>
      </c>
      <c r="AJ135">
        <f t="shared" si="75"/>
        <v>18000</v>
      </c>
      <c r="AK135">
        <f t="shared" si="76"/>
        <v>33925.807699937999</v>
      </c>
      <c r="AL135">
        <v>1</v>
      </c>
      <c r="AM135">
        <f t="shared" si="77"/>
        <v>20.732438038851001</v>
      </c>
      <c r="AN135">
        <f t="shared" si="91"/>
        <v>1674.344939733546</v>
      </c>
      <c r="AO135">
        <f t="shared" si="92"/>
        <v>-787.44501875145738</v>
      </c>
      <c r="AQ135">
        <f t="shared" si="78"/>
        <v>0.98019996079200156</v>
      </c>
      <c r="AR135">
        <f t="shared" si="79"/>
        <v>-99.000196039992161</v>
      </c>
      <c r="AT135">
        <f t="shared" si="104"/>
        <v>-111577.55683253919</v>
      </c>
      <c r="AU135">
        <f t="shared" si="105"/>
        <v>-1781865.2386372893</v>
      </c>
      <c r="AV135">
        <f t="shared" si="93"/>
        <v>-1.6333330788952467</v>
      </c>
      <c r="AW135">
        <f t="shared" si="94"/>
        <v>-34437.11970779542</v>
      </c>
      <c r="AX135">
        <f t="shared" si="95"/>
        <v>-181112.91754291669</v>
      </c>
      <c r="AY135">
        <f t="shared" si="103"/>
        <v>-1.7586950415362308</v>
      </c>
      <c r="BA135">
        <f t="shared" si="80"/>
        <v>9.6841851853863599</v>
      </c>
      <c r="BB135">
        <f t="shared" si="96"/>
        <v>19.721261712507616</v>
      </c>
      <c r="BC135">
        <f t="shared" si="97"/>
        <v>0.12536196264098409</v>
      </c>
      <c r="BD135">
        <f t="shared" si="81"/>
        <v>-172.81728862098745</v>
      </c>
      <c r="BF135">
        <f t="shared" si="82"/>
        <v>-0.37454202954987303</v>
      </c>
      <c r="BG135">
        <f t="shared" si="83"/>
        <v>-99.420222675655808</v>
      </c>
      <c r="BH135">
        <f t="shared" si="98"/>
        <v>80.579777324344192</v>
      </c>
      <c r="BI135">
        <f t="shared" si="99"/>
        <v>80.579777324344192</v>
      </c>
      <c r="BJ135">
        <f t="shared" si="84"/>
        <v>0</v>
      </c>
      <c r="BK135">
        <f t="shared" si="100"/>
        <v>0</v>
      </c>
      <c r="BM135">
        <f t="shared" si="101"/>
        <v>-20.095803742057488</v>
      </c>
      <c r="BN135">
        <f t="shared" si="85"/>
        <v>-106.60293405466834</v>
      </c>
      <c r="BQ135" s="66">
        <f t="shared" si="102"/>
        <v>36.623222512792751</v>
      </c>
      <c r="BR135" s="71"/>
      <c r="BS135" s="71"/>
      <c r="BT135" s="71">
        <v>1778.279</v>
      </c>
      <c r="BU135" s="71">
        <v>10.213699999999999</v>
      </c>
      <c r="BV135" s="71">
        <v>-256.01499999999999</v>
      </c>
      <c r="BW135" s="75"/>
      <c r="BY135" s="71"/>
      <c r="BZ135" s="71"/>
      <c r="CA135" s="71"/>
      <c r="CC135" s="71"/>
    </row>
    <row r="136" spans="1:81" x14ac:dyDescent="0.2">
      <c r="A136">
        <f t="shared" si="106"/>
        <v>51000</v>
      </c>
      <c r="B136">
        <f t="shared" si="86"/>
        <v>51</v>
      </c>
      <c r="C136">
        <f t="shared" si="55"/>
        <v>3.3262586341350255</v>
      </c>
      <c r="D136">
        <f t="shared" si="56"/>
        <v>1.2654347157209382</v>
      </c>
      <c r="F136">
        <f t="shared" si="57"/>
        <v>1.9610012635971662E-3</v>
      </c>
      <c r="G136">
        <f t="shared" si="58"/>
        <v>1.8240823895424897E-2</v>
      </c>
      <c r="H136">
        <f t="shared" si="59"/>
        <v>-3.1233518261045754</v>
      </c>
      <c r="J136">
        <f t="shared" si="60"/>
        <v>15</v>
      </c>
      <c r="M136">
        <f t="shared" si="61"/>
        <v>6.6147042312741475E-2</v>
      </c>
      <c r="N136">
        <f t="shared" si="62"/>
        <v>-1.5707963250000001</v>
      </c>
      <c r="O136">
        <f t="shared" si="63"/>
        <v>15.145115960697277</v>
      </c>
      <c r="P136">
        <f t="shared" si="64"/>
        <v>1.5047203690105428</v>
      </c>
      <c r="Q136">
        <f t="shared" si="65"/>
        <v>20.961576457662577</v>
      </c>
      <c r="R136">
        <f t="shared" si="66"/>
        <v>1.5230718769298492</v>
      </c>
      <c r="S136">
        <f t="shared" si="67"/>
        <v>0.46508917738917172</v>
      </c>
      <c r="T136">
        <f t="shared" si="68"/>
        <v>-1.0870609828616016</v>
      </c>
      <c r="U136">
        <f t="shared" si="69"/>
        <v>0.99998337840044671</v>
      </c>
      <c r="V136">
        <f t="shared" si="70"/>
        <v>-5.7656995412083707E-3</v>
      </c>
      <c r="X136">
        <f t="shared" si="87"/>
        <v>-0.39477726460269119</v>
      </c>
      <c r="Y136">
        <f t="shared" si="71"/>
        <v>-85.585448811223145</v>
      </c>
      <c r="Z136">
        <f t="shared" si="88"/>
        <v>94.414551188776855</v>
      </c>
      <c r="AC136">
        <v>1</v>
      </c>
      <c r="AD136">
        <f t="shared" si="72"/>
        <v>15.112065956148001</v>
      </c>
      <c r="AE136">
        <f t="shared" si="73"/>
        <v>-4.8425474440832781E-6</v>
      </c>
      <c r="AF136">
        <f t="shared" si="74"/>
        <v>8.3987966223630006E-4</v>
      </c>
      <c r="AG136">
        <f t="shared" si="89"/>
        <v>17985.669488558367</v>
      </c>
      <c r="AH136">
        <f t="shared" si="90"/>
        <v>-1294.3478770725258</v>
      </c>
      <c r="AJ136">
        <f t="shared" si="75"/>
        <v>18000</v>
      </c>
      <c r="AK136">
        <f t="shared" si="76"/>
        <v>34261.706786076</v>
      </c>
      <c r="AL136">
        <v>1</v>
      </c>
      <c r="AM136">
        <f t="shared" si="77"/>
        <v>20.937709702602</v>
      </c>
      <c r="AN136">
        <f t="shared" si="91"/>
        <v>1673.6055455608951</v>
      </c>
      <c r="AO136">
        <f t="shared" si="92"/>
        <v>-779.76028354286382</v>
      </c>
      <c r="AQ136">
        <f t="shared" si="78"/>
        <v>0.96107640557424312</v>
      </c>
      <c r="AR136">
        <f t="shared" si="79"/>
        <v>-98.029793368572797</v>
      </c>
      <c r="AT136">
        <f t="shared" si="104"/>
        <v>-109599.05235256054</v>
      </c>
      <c r="AU136">
        <f t="shared" si="105"/>
        <v>-1764375.4307640807</v>
      </c>
      <c r="AV136">
        <f t="shared" si="93"/>
        <v>-1.6328343766411628</v>
      </c>
      <c r="AW136">
        <f t="shared" si="94"/>
        <v>-32949.224801841578</v>
      </c>
      <c r="AX136">
        <f t="shared" si="95"/>
        <v>-179254.64844516307</v>
      </c>
      <c r="AY136">
        <f t="shared" si="103"/>
        <v>-1.7525795374646997</v>
      </c>
      <c r="BA136">
        <f t="shared" si="80"/>
        <v>9.6993206838241655</v>
      </c>
      <c r="BB136">
        <f t="shared" si="96"/>
        <v>19.734826368628532</v>
      </c>
      <c r="BC136">
        <f t="shared" si="97"/>
        <v>0.11974516082353692</v>
      </c>
      <c r="BD136">
        <f t="shared" si="81"/>
        <v>-173.13910765985634</v>
      </c>
      <c r="BF136">
        <f t="shared" si="82"/>
        <v>-0.45467068241815728</v>
      </c>
      <c r="BG136">
        <f t="shared" si="83"/>
        <v>-99.589916891618017</v>
      </c>
      <c r="BH136">
        <f t="shared" si="98"/>
        <v>80.410083108381983</v>
      </c>
      <c r="BI136">
        <f t="shared" si="99"/>
        <v>80.410083108381983</v>
      </c>
      <c r="BJ136">
        <f t="shared" si="84"/>
        <v>0</v>
      </c>
      <c r="BK136">
        <f t="shared" si="100"/>
        <v>0</v>
      </c>
      <c r="BM136">
        <f t="shared" si="101"/>
        <v>-20.189497051046686</v>
      </c>
      <c r="BN136">
        <f t="shared" si="85"/>
        <v>-106.45080923176168</v>
      </c>
      <c r="BQ136" s="66">
        <f t="shared" si="102"/>
        <v>36.636787168913671</v>
      </c>
      <c r="BR136" s="71"/>
      <c r="BS136" s="71"/>
      <c r="BT136" s="71">
        <v>1819.701</v>
      </c>
      <c r="BU136" s="71">
        <v>10.045199999999999</v>
      </c>
      <c r="BV136" s="71">
        <v>-255.833</v>
      </c>
      <c r="BW136" s="75"/>
      <c r="BY136" s="71"/>
      <c r="BZ136" s="71"/>
      <c r="CA136" s="71"/>
      <c r="CC136" s="71"/>
    </row>
    <row r="137" spans="1:81" x14ac:dyDescent="0.2">
      <c r="A137">
        <f t="shared" si="106"/>
        <v>51500</v>
      </c>
      <c r="B137">
        <f t="shared" si="86"/>
        <v>51.5</v>
      </c>
      <c r="C137">
        <f t="shared" ref="C137:C200" si="107">SQRT((A137/Fesr)^2+1)</f>
        <v>3.3559346069033484</v>
      </c>
      <c r="D137">
        <f t="shared" ref="D137:D200" si="108">ATAN(A137/Fesr)</f>
        <v>1.2682209403325237</v>
      </c>
      <c r="F137">
        <f t="shared" ref="F137:F200" si="109">(Ro/(Ro+Rdcr))/SQRT((A137/(Q*Fo))^2+(1-(A137^2/Fo^2))^2)</f>
        <v>1.923041118549964E-3</v>
      </c>
      <c r="G137">
        <f t="shared" ref="G137:G200" si="110">-ATAN(A137*Fo/(Q*(Fo^2-A137^2)))</f>
        <v>1.8063077001289337E-2</v>
      </c>
      <c r="H137">
        <f t="shared" ref="H137:H200" si="111">IF(G137&gt;0,G137-Pi,G137)</f>
        <v>-3.1235295729987107</v>
      </c>
      <c r="J137">
        <f t="shared" ref="J137:J200" si="112">Vin/Vramp</f>
        <v>15</v>
      </c>
      <c r="M137">
        <f t="shared" ref="M137:M200" si="113">1/(2*Pi*_Rfb1*(Cc1ea_u+Cc2ea_u)*A137)</f>
        <v>6.5504838018443007E-2</v>
      </c>
      <c r="N137">
        <f t="shared" ref="N137:N200" si="114">-Pi/2</f>
        <v>-1.5707963250000001</v>
      </c>
      <c r="O137">
        <f t="shared" ref="O137:O200" si="115">SQRT(1+(A137/Fz1_u)^2)</f>
        <v>15.292953286323355</v>
      </c>
      <c r="P137">
        <f t="shared" ref="P137:P200" si="116">ATAN2(Fz1_u,A137)</f>
        <v>1.5053600445342779</v>
      </c>
      <c r="Q137">
        <f t="shared" ref="Q137:Q200" si="117">SQRT(1+(A137/Fz2_u)^2)</f>
        <v>21.166616665351839</v>
      </c>
      <c r="R137">
        <f t="shared" ref="R137:R200" si="118">ATAN2(Fz2_u,A137)</f>
        <v>1.5235345280645372</v>
      </c>
      <c r="S137">
        <f t="shared" ref="S137:S200" si="119">1/SQRT(1+(A137/Fp1_u)^2)</f>
        <v>0.46153932148790533</v>
      </c>
      <c r="T137">
        <f t="shared" ref="T137:T200" si="120">-ATAN2(Fp1_u,A137)</f>
        <v>-1.0910667197469428</v>
      </c>
      <c r="U137">
        <f t="shared" ref="U137:U200" si="121">1/SQRT(1+(A137/Fp2_u)^2)</f>
        <v>0.99998305089744022</v>
      </c>
      <c r="V137">
        <f t="shared" ref="V137:V200" si="122">-ATAN2(Fp2_u,A137)</f>
        <v>-5.8222247360740793E-3</v>
      </c>
      <c r="X137">
        <f t="shared" si="87"/>
        <v>-0.46978301808865996</v>
      </c>
      <c r="Y137">
        <f t="shared" ref="Y137:Y200" si="123">(180/Pi)*(D137+H137+N137+P137+R137+T137+V137)</f>
        <v>-85.605585854381843</v>
      </c>
      <c r="Z137">
        <f t="shared" si="88"/>
        <v>94.394414145618157</v>
      </c>
      <c r="AC137">
        <v>1</v>
      </c>
      <c r="AD137">
        <f t="shared" ref="AD137:AD200" si="124">Rcea1_u*Cc1ea_u*A137*2*Pi</f>
        <v>15.260223465522003</v>
      </c>
      <c r="AE137">
        <f t="shared" ref="AE137:AE200" si="125">-Rcea1_u*Cc1ea_u*Cc2ea_u*(A137*2*Pi)^2</f>
        <v>-4.9379648052940696E-6</v>
      </c>
      <c r="AF137">
        <f t="shared" ref="AF137:AF200" si="126">(Cc2ea_u+Cc1ea_u)*A137*2*Pi</f>
        <v>8.4811377657195014E-4</v>
      </c>
      <c r="AG137">
        <f t="shared" si="89"/>
        <v>17985.657707642818</v>
      </c>
      <c r="AH137">
        <f t="shared" si="90"/>
        <v>-1283.8048087856246</v>
      </c>
      <c r="AJ137">
        <f t="shared" ref="AJ137:AJ200" si="127">_Rfb1</f>
        <v>18000</v>
      </c>
      <c r="AK137">
        <f t="shared" ref="AK137:AK200" si="128">_Rfb1*Rcea2_u*Cc3ea_u*A137*2*Pi</f>
        <v>34597.605872214001</v>
      </c>
      <c r="AL137">
        <v>1</v>
      </c>
      <c r="AM137">
        <f t="shared" ref="AM137:AM200" si="129">(_Rfb1+Rcea2_u)*Cc3ea_u*A137*2*Pi</f>
        <v>21.142981366353002</v>
      </c>
      <c r="AN137">
        <f t="shared" si="91"/>
        <v>1672.8875183327984</v>
      </c>
      <c r="AO137">
        <f t="shared" si="92"/>
        <v>-772.22375590086904</v>
      </c>
      <c r="AQ137">
        <f t="shared" ref="AQ137:AQ200" si="130">Eadcg/(1+(Eadcg*A137/GBP)^2)</f>
        <v>0.94250706880301605</v>
      </c>
      <c r="AR137">
        <f t="shared" ref="AR137:AR200" si="131">-(A137*Eadcg*Eadcg/GBP)/(1+(Eadcg*A137/GBP)^2)</f>
        <v>-97.078228086710652</v>
      </c>
      <c r="AT137">
        <f t="shared" si="104"/>
        <v>-107677.88651958201</v>
      </c>
      <c r="AU137">
        <f t="shared" si="105"/>
        <v>-1747225.7763392988</v>
      </c>
      <c r="AV137">
        <f t="shared" si="93"/>
        <v>-1.6323464009574804</v>
      </c>
      <c r="AW137">
        <f t="shared" si="94"/>
        <v>-31504.292671642164</v>
      </c>
      <c r="AX137">
        <f t="shared" si="95"/>
        <v>-177435.0016111171</v>
      </c>
      <c r="AY137">
        <f t="shared" si="103"/>
        <v>-1.7465190131469739</v>
      </c>
      <c r="BA137">
        <f t="shared" ref="BA137:BA200" si="132">SQRT(AT137^2+AU137^2)/SQRT(AW137^2+AX137^2)</f>
        <v>9.713884359522897</v>
      </c>
      <c r="BB137">
        <f t="shared" si="96"/>
        <v>19.747858580804941</v>
      </c>
      <c r="BC137">
        <f t="shared" si="97"/>
        <v>0.11417261218949348</v>
      </c>
      <c r="BD137">
        <f t="shared" ref="BD137:BD200" si="133">BC137*180/Pi-180</f>
        <v>-173.45839117808325</v>
      </c>
      <c r="BF137">
        <f t="shared" ref="BF137:BF200" si="134">20*LOG(BA137*J137*F137*C137)</f>
        <v>-0.5342750360447357</v>
      </c>
      <c r="BG137">
        <f t="shared" ref="BG137:BG200" si="135">(180/Pi)*(D137+H137+BC137)</f>
        <v>-99.759745645510336</v>
      </c>
      <c r="BH137">
        <f t="shared" si="98"/>
        <v>80.240254354489664</v>
      </c>
      <c r="BI137">
        <f t="shared" si="99"/>
        <v>80.240254354489664</v>
      </c>
      <c r="BJ137">
        <f t="shared" ref="BJ137:BJ200" si="136">SUM((BF138&lt;0)*(BF137&gt;0))*A137</f>
        <v>0</v>
      </c>
      <c r="BK137">
        <f t="shared" si="100"/>
        <v>0</v>
      </c>
      <c r="BM137">
        <f t="shared" si="101"/>
        <v>-20.282133616849677</v>
      </c>
      <c r="BN137">
        <f t="shared" ref="BN137:BN200" si="137">(H137+D137)*180/Pi</f>
        <v>-106.30135446742709</v>
      </c>
      <c r="BQ137" s="66">
        <f t="shared" si="102"/>
        <v>36.649819381090076</v>
      </c>
      <c r="BR137" s="71"/>
      <c r="BS137" s="71"/>
      <c r="BT137" s="71">
        <v>1862.087</v>
      </c>
      <c r="BU137" s="71">
        <v>9.8767200000000006</v>
      </c>
      <c r="BV137" s="71">
        <v>-255.47</v>
      </c>
      <c r="BW137" s="75"/>
      <c r="BY137" s="71"/>
      <c r="BZ137" s="71"/>
      <c r="CA137" s="71"/>
      <c r="CC137" s="71"/>
    </row>
    <row r="138" spans="1:81" x14ac:dyDescent="0.2">
      <c r="A138">
        <f t="shared" si="106"/>
        <v>52000</v>
      </c>
      <c r="B138">
        <f t="shared" ref="B138:B201" si="138">A138/1000</f>
        <v>52</v>
      </c>
      <c r="C138">
        <f t="shared" si="107"/>
        <v>3.3856361751250734</v>
      </c>
      <c r="D138">
        <f t="shared" si="108"/>
        <v>1.2709582998049056</v>
      </c>
      <c r="F138">
        <f t="shared" si="109"/>
        <v>1.8861732474874699E-3</v>
      </c>
      <c r="G138">
        <f t="shared" si="110"/>
        <v>1.7888766881936666E-2</v>
      </c>
      <c r="H138">
        <f t="shared" si="111"/>
        <v>-3.1237038831180635</v>
      </c>
      <c r="J138">
        <f t="shared" si="112"/>
        <v>15</v>
      </c>
      <c r="M138">
        <f t="shared" si="113"/>
        <v>6.4874983806727224E-2</v>
      </c>
      <c r="N138">
        <f t="shared" si="114"/>
        <v>-1.5707963250000001</v>
      </c>
      <c r="O138">
        <f t="shared" si="115"/>
        <v>15.440796749764472</v>
      </c>
      <c r="P138">
        <f t="shared" si="116"/>
        <v>1.5059874707038035</v>
      </c>
      <c r="Q138">
        <f t="shared" si="117"/>
        <v>21.371661316737747</v>
      </c>
      <c r="R138">
        <f t="shared" si="118"/>
        <v>1.5239883017312685</v>
      </c>
      <c r="S138">
        <f t="shared" si="119"/>
        <v>0.45803606124406615</v>
      </c>
      <c r="T138">
        <f t="shared" si="120"/>
        <v>-1.0950117089809339</v>
      </c>
      <c r="U138">
        <f t="shared" si="121"/>
        <v>0.99998272019960899</v>
      </c>
      <c r="V138">
        <f t="shared" si="122"/>
        <v>-5.8787498937342376E-3</v>
      </c>
      <c r="X138">
        <f t="shared" ref="X138:X201" si="139">20*LOG(C138*J138*O138*Q138*F138*M138*S138*U138)</f>
        <v>-0.54418910018089051</v>
      </c>
      <c r="Y138">
        <f t="shared" si="123"/>
        <v>-85.626055642667666</v>
      </c>
      <c r="Z138">
        <f t="shared" ref="Z138:Z201" si="140">Y138+180</f>
        <v>94.373944357332334</v>
      </c>
      <c r="AC138">
        <v>1</v>
      </c>
      <c r="AD138">
        <f t="shared" si="124"/>
        <v>15.408380974896003</v>
      </c>
      <c r="AE138">
        <f t="shared" si="125"/>
        <v>-5.0343130675898444E-6</v>
      </c>
      <c r="AF138">
        <f t="shared" si="126"/>
        <v>8.563478909076E-4</v>
      </c>
      <c r="AG138">
        <f t="shared" ref="AG138:AG201" si="141">AC138*AE138/(AE138^2+AF138^2)+AD138*AF138/(AE138^2+AF138^2)</f>
        <v>17985.645811807164</v>
      </c>
      <c r="AH138">
        <f t="shared" ref="AH138:AH201" si="142">AD138*AE138/(AE138^2+AF138^2)-AC138*AF138/(AE138^2+AF138^2)</f>
        <v>-1273.4840399777352</v>
      </c>
      <c r="AJ138">
        <f t="shared" si="127"/>
        <v>18000</v>
      </c>
      <c r="AK138">
        <f t="shared" si="128"/>
        <v>34933.504958351994</v>
      </c>
      <c r="AL138">
        <v>1</v>
      </c>
      <c r="AM138">
        <f t="shared" si="129"/>
        <v>21.348253030104001</v>
      </c>
      <c r="AN138">
        <f t="shared" ref="AN138:AN201" si="143">AJ138*AL138/(AL138^2+AM138^2)+AK138*AM138/(AL138^2+AM138^2)</f>
        <v>1672.1900432221746</v>
      </c>
      <c r="AO138">
        <f t="shared" ref="AO138:AO201" si="144">AK138*AL138/(AL138^2+AM138^2)-AJ138*AM138/(AL138^2+AM138^2)</f>
        <v>-764.8311987755319</v>
      </c>
      <c r="AQ138">
        <f t="shared" si="130"/>
        <v>0.92447074050106315</v>
      </c>
      <c r="AR138">
        <f t="shared" si="131"/>
        <v>-96.144957012110567</v>
      </c>
      <c r="AT138">
        <f t="shared" si="104"/>
        <v>-105811.86497723701</v>
      </c>
      <c r="AU138">
        <f t="shared" si="105"/>
        <v>-1730406.4421447008</v>
      </c>
      <c r="AV138">
        <f t="shared" ref="AV138:AV201" si="145">ATAN2(AT138,AU138)</f>
        <v>-1.6318688444800213</v>
      </c>
      <c r="AW138">
        <f t="shared" ref="AW138:AW201" si="146">AG138-AH138*AO138/_Rfb2+AG138*AN138/_Rfb2+AN138-AO138*AR138+AQ138*AN138</f>
        <v>-30100.686608889657</v>
      </c>
      <c r="AX138">
        <f t="shared" ref="AX138:AX201" si="147">AH138+AH138*AN138/_Rfb2+AG138*AO138/_Rfb2+AO138+AO138*AQ138+AN138*AR138</f>
        <v>-175652.76872007354</v>
      </c>
      <c r="AY138">
        <f t="shared" si="103"/>
        <v>-1.740512566466492</v>
      </c>
      <c r="BA138">
        <f t="shared" si="132"/>
        <v>9.7278904992206368</v>
      </c>
      <c r="BB138">
        <f t="shared" ref="BB138:BB201" si="148">20*LOG(BA138)</f>
        <v>19.760373467496112</v>
      </c>
      <c r="BC138">
        <f t="shared" ref="BC138:BC201" si="149">AV138-AY138</f>
        <v>0.10864372198647065</v>
      </c>
      <c r="BD138">
        <f t="shared" si="133"/>
        <v>-173.77517325246967</v>
      </c>
      <c r="BF138">
        <f t="shared" si="134"/>
        <v>-0.61336400777420486</v>
      </c>
      <c r="BG138">
        <f t="shared" si="135"/>
        <v>-99.929675809116645</v>
      </c>
      <c r="BH138">
        <f t="shared" ref="BH138:BH201" si="150">IF(BG138&gt;180,BG138-180,BG138+180)</f>
        <v>80.070324190883355</v>
      </c>
      <c r="BI138">
        <f t="shared" ref="BI138:BI201" si="151">IF(BH138&gt;180,BH138-360,BH138)</f>
        <v>80.070324190883355</v>
      </c>
      <c r="BJ138">
        <f t="shared" si="136"/>
        <v>0</v>
      </c>
      <c r="BK138">
        <f t="shared" ref="BK138:BK201" si="152">IF(BJ138&gt;0,BI138,0)</f>
        <v>0</v>
      </c>
      <c r="BM138">
        <f t="shared" ref="BM138:BM201" si="153">20*LOG(J138*F138*C138)</f>
        <v>-20.373737475270318</v>
      </c>
      <c r="BN138">
        <f t="shared" si="137"/>
        <v>-106.15450255664699</v>
      </c>
      <c r="BQ138" s="66">
        <f t="shared" ref="BQ138:BQ201" si="154">20*LOG(BA138*7)</f>
        <v>36.662334267781247</v>
      </c>
      <c r="BR138" s="71"/>
      <c r="BS138" s="71"/>
      <c r="BT138" s="71">
        <v>1905.461</v>
      </c>
      <c r="BU138" s="71">
        <v>9.7134199999999993</v>
      </c>
      <c r="BV138" s="71">
        <v>-255.059</v>
      </c>
      <c r="BW138" s="75"/>
      <c r="BY138" s="71"/>
      <c r="BZ138" s="71"/>
      <c r="CA138" s="71"/>
      <c r="CC138" s="71"/>
    </row>
    <row r="139" spans="1:81" x14ac:dyDescent="0.2">
      <c r="A139">
        <f t="shared" si="106"/>
        <v>52500</v>
      </c>
      <c r="B139">
        <f t="shared" si="138"/>
        <v>52.5</v>
      </c>
      <c r="C139">
        <f t="shared" si="107"/>
        <v>3.4153626710306799</v>
      </c>
      <c r="D139">
        <f t="shared" si="108"/>
        <v>1.2736480285025473</v>
      </c>
      <c r="F139">
        <f t="shared" si="109"/>
        <v>1.8503561197430948E-3</v>
      </c>
      <c r="G139">
        <f t="shared" si="110"/>
        <v>1.7717794644693866E-2</v>
      </c>
      <c r="H139">
        <f t="shared" si="111"/>
        <v>-3.1238748553553064</v>
      </c>
      <c r="J139">
        <f t="shared" si="112"/>
        <v>15</v>
      </c>
      <c r="M139">
        <f t="shared" si="113"/>
        <v>6.4257126818091717E-2</v>
      </c>
      <c r="N139">
        <f t="shared" si="114"/>
        <v>-1.5707963250000001</v>
      </c>
      <c r="O139">
        <f t="shared" si="115"/>
        <v>15.588646176386634</v>
      </c>
      <c r="P139">
        <f t="shared" si="116"/>
        <v>1.5066029955523981</v>
      </c>
      <c r="Q139">
        <f t="shared" si="117"/>
        <v>21.576710285134229</v>
      </c>
      <c r="R139">
        <f t="shared" si="118"/>
        <v>1.524433450834964</v>
      </c>
      <c r="S139">
        <f t="shared" si="119"/>
        <v>0.45457866710329747</v>
      </c>
      <c r="T139">
        <f t="shared" si="120"/>
        <v>-1.0988972019930952</v>
      </c>
      <c r="U139">
        <f t="shared" si="121"/>
        <v>0.99998238630696235</v>
      </c>
      <c r="V139">
        <f t="shared" si="122"/>
        <v>-5.935275013827678E-3</v>
      </c>
      <c r="X139">
        <f t="shared" si="139"/>
        <v>-0.61800517537710609</v>
      </c>
      <c r="Y139">
        <f t="shared" si="123"/>
        <v>-85.646830388725789</v>
      </c>
      <c r="Z139">
        <f t="shared" si="140"/>
        <v>94.353169611274211</v>
      </c>
      <c r="AC139">
        <v>1</v>
      </c>
      <c r="AD139">
        <f t="shared" si="124"/>
        <v>15.556538484270002</v>
      </c>
      <c r="AE139">
        <f t="shared" si="125"/>
        <v>-5.1315922309706025E-6</v>
      </c>
      <c r="AF139">
        <f t="shared" si="126"/>
        <v>8.6458200524325009E-4</v>
      </c>
      <c r="AG139">
        <f t="shared" si="141"/>
        <v>17985.633801051863</v>
      </c>
      <c r="AH139">
        <f t="shared" si="142"/>
        <v>-1263.3792191583295</v>
      </c>
      <c r="AJ139">
        <f t="shared" si="127"/>
        <v>18000</v>
      </c>
      <c r="AK139">
        <f t="shared" si="128"/>
        <v>35269.404044489995</v>
      </c>
      <c r="AL139">
        <v>1</v>
      </c>
      <c r="AM139">
        <f t="shared" si="129"/>
        <v>21.553524693855</v>
      </c>
      <c r="AN139">
        <f t="shared" si="143"/>
        <v>1671.5123438490771</v>
      </c>
      <c r="AO139">
        <f t="shared" si="144"/>
        <v>-757.57853474453964</v>
      </c>
      <c r="AQ139">
        <f t="shared" si="130"/>
        <v>0.90694721567204784</v>
      </c>
      <c r="AR139">
        <f t="shared" si="131"/>
        <v>-95.229457645565034</v>
      </c>
      <c r="AT139">
        <f t="shared" si="104"/>
        <v>-103998.89734316411</v>
      </c>
      <c r="AU139">
        <f t="shared" si="105"/>
        <v>-1713907.9705510647</v>
      </c>
      <c r="AV139">
        <f t="shared" si="145"/>
        <v>-1.6314014114576099</v>
      </c>
      <c r="AW139">
        <f t="shared" si="146"/>
        <v>-28736.847039025401</v>
      </c>
      <c r="AX139">
        <f t="shared" si="147"/>
        <v>-173906.79188492527</v>
      </c>
      <c r="AY139">
        <f t="shared" ref="AY139:AY202" si="155">ATAN2(AW139,AX139)</f>
        <v>-1.7345593114827442</v>
      </c>
      <c r="BA139">
        <f t="shared" si="132"/>
        <v>9.7413529700510857</v>
      </c>
      <c r="BB139">
        <f t="shared" si="148"/>
        <v>19.772385598805705</v>
      </c>
      <c r="BC139">
        <f t="shared" si="149"/>
        <v>0.10315790002513436</v>
      </c>
      <c r="BD139">
        <f t="shared" si="133"/>
        <v>-174.08948769837357</v>
      </c>
      <c r="BF139">
        <f t="shared" si="134"/>
        <v>-0.69194625601040516</v>
      </c>
      <c r="BG139">
        <f t="shared" si="135"/>
        <v>-100.09967614005349</v>
      </c>
      <c r="BH139">
        <f t="shared" si="150"/>
        <v>79.900323859946511</v>
      </c>
      <c r="BI139">
        <f t="shared" si="151"/>
        <v>79.900323859946511</v>
      </c>
      <c r="BJ139">
        <f t="shared" si="136"/>
        <v>0</v>
      </c>
      <c r="BK139">
        <f t="shared" si="152"/>
        <v>0</v>
      </c>
      <c r="BM139">
        <f t="shared" si="153"/>
        <v>-20.464331854816113</v>
      </c>
      <c r="BN139">
        <f t="shared" si="137"/>
        <v>-106.01018844167992</v>
      </c>
      <c r="BQ139" s="66">
        <f t="shared" si="154"/>
        <v>36.674346399090844</v>
      </c>
      <c r="BR139" s="71"/>
      <c r="BS139" s="71"/>
      <c r="BT139" s="71">
        <v>1949.845</v>
      </c>
      <c r="BU139" s="71">
        <v>9.5268499999999996</v>
      </c>
      <c r="BV139" s="71">
        <v>-254.971</v>
      </c>
      <c r="BW139" s="75"/>
      <c r="BY139" s="71"/>
      <c r="BZ139" s="71"/>
      <c r="CA139" s="71"/>
      <c r="CC139" s="71"/>
    </row>
    <row r="140" spans="1:81" x14ac:dyDescent="0.2">
      <c r="A140">
        <f t="shared" si="106"/>
        <v>53000</v>
      </c>
      <c r="B140">
        <f t="shared" si="138"/>
        <v>53</v>
      </c>
      <c r="C140">
        <f t="shared" si="107"/>
        <v>3.4451134493474069</v>
      </c>
      <c r="D140">
        <f t="shared" si="108"/>
        <v>1.2762913209624434</v>
      </c>
      <c r="F140">
        <f t="shared" si="109"/>
        <v>1.8155501609832302E-3</v>
      </c>
      <c r="G140">
        <f t="shared" si="110"/>
        <v>1.755006516130482E-2</v>
      </c>
      <c r="H140">
        <f t="shared" si="111"/>
        <v>-3.1240425848386955</v>
      </c>
      <c r="J140">
        <f t="shared" si="112"/>
        <v>15</v>
      </c>
      <c r="M140">
        <f t="shared" si="113"/>
        <v>6.3650927508487082E-2</v>
      </c>
      <c r="N140">
        <f t="shared" si="114"/>
        <v>-1.5707963250000001</v>
      </c>
      <c r="O140">
        <f t="shared" si="115"/>
        <v>15.736501398111905</v>
      </c>
      <c r="P140">
        <f t="shared" si="116"/>
        <v>1.5072069540701647</v>
      </c>
      <c r="Q140">
        <f t="shared" si="117"/>
        <v>21.781763448622986</v>
      </c>
      <c r="R140">
        <f t="shared" si="118"/>
        <v>1.524870218771148</v>
      </c>
      <c r="S140">
        <f t="shared" si="119"/>
        <v>0.45116641792945339</v>
      </c>
      <c r="T140">
        <f t="shared" si="120"/>
        <v>-1.1027244199376998</v>
      </c>
      <c r="U140">
        <f t="shared" si="121"/>
        <v>0.99998204921951028</v>
      </c>
      <c r="V140">
        <f t="shared" si="122"/>
        <v>-5.9918000959932318E-3</v>
      </c>
      <c r="X140">
        <f t="shared" si="139"/>
        <v>-0.69124064426933918</v>
      </c>
      <c r="Y140">
        <f t="shared" si="123"/>
        <v>-85.667883928985447</v>
      </c>
      <c r="Z140">
        <f t="shared" si="140"/>
        <v>94.332116071014553</v>
      </c>
      <c r="AC140">
        <v>1</v>
      </c>
      <c r="AD140">
        <f t="shared" si="124"/>
        <v>15.704695993644002</v>
      </c>
      <c r="AE140">
        <f t="shared" si="125"/>
        <v>-5.2298022954363438E-6</v>
      </c>
      <c r="AF140">
        <f t="shared" si="126"/>
        <v>8.7281611957890006E-4</v>
      </c>
      <c r="AG140">
        <f t="shared" si="141"/>
        <v>17985.621675377381</v>
      </c>
      <c r="AH140">
        <f t="shared" si="142"/>
        <v>-1253.4842345150321</v>
      </c>
      <c r="AJ140">
        <f t="shared" si="127"/>
        <v>18000</v>
      </c>
      <c r="AK140">
        <f t="shared" si="128"/>
        <v>35605.303130627995</v>
      </c>
      <c r="AL140">
        <v>1</v>
      </c>
      <c r="AM140">
        <f t="shared" si="129"/>
        <v>21.758796357605998</v>
      </c>
      <c r="AN140">
        <f t="shared" si="143"/>
        <v>1670.8536801256532</v>
      </c>
      <c r="AO140">
        <f t="shared" si="144"/>
        <v>-750.46183858264442</v>
      </c>
      <c r="AQ140">
        <f t="shared" si="130"/>
        <v>0.88991723769689424</v>
      </c>
      <c r="AR140">
        <f t="shared" si="131"/>
        <v>-94.331227195870781</v>
      </c>
      <c r="AT140">
        <f t="shared" si="104"/>
        <v>-102236.99135286643</v>
      </c>
      <c r="AU140">
        <f t="shared" si="105"/>
        <v>-1697721.261746478</v>
      </c>
      <c r="AV140">
        <f t="shared" si="145"/>
        <v>-1.6309438172096209</v>
      </c>
      <c r="AW140">
        <f t="shared" si="146"/>
        <v>-27411.287203789012</v>
      </c>
      <c r="AX140">
        <f t="shared" si="147"/>
        <v>-172195.96102884528</v>
      </c>
      <c r="AY140">
        <f t="shared" si="155"/>
        <v>-1.7286583783693263</v>
      </c>
      <c r="BA140">
        <f t="shared" si="132"/>
        <v>9.7542852326277494</v>
      </c>
      <c r="BB140">
        <f t="shared" si="148"/>
        <v>19.783909019667256</v>
      </c>
      <c r="BC140">
        <f t="shared" si="149"/>
        <v>9.7714561159705449E-2</v>
      </c>
      <c r="BD140">
        <f t="shared" si="133"/>
        <v>-174.40136804217855</v>
      </c>
      <c r="BF140">
        <f t="shared" si="134"/>
        <v>-0.77003019218828139</v>
      </c>
      <c r="BG140">
        <f t="shared" si="135"/>
        <v>-100.2697171732237</v>
      </c>
      <c r="BH140">
        <f t="shared" si="150"/>
        <v>79.730282826776303</v>
      </c>
      <c r="BI140">
        <f t="shared" si="151"/>
        <v>79.730282826776303</v>
      </c>
      <c r="BJ140">
        <f t="shared" si="136"/>
        <v>0</v>
      </c>
      <c r="BK140">
        <f t="shared" si="152"/>
        <v>0</v>
      </c>
      <c r="BM140">
        <f t="shared" si="153"/>
        <v>-20.553939211855543</v>
      </c>
      <c r="BN140">
        <f t="shared" si="137"/>
        <v>-105.86834913104516</v>
      </c>
      <c r="BQ140" s="66">
        <f t="shared" si="154"/>
        <v>36.685869819952394</v>
      </c>
      <c r="BR140" s="71"/>
      <c r="BS140" s="71"/>
      <c r="BT140" s="71">
        <v>1995.2619999999999</v>
      </c>
      <c r="BU140" s="71">
        <v>9.3349399999999996</v>
      </c>
      <c r="BV140" s="71">
        <v>-254.804</v>
      </c>
      <c r="BW140" s="75"/>
      <c r="BY140" s="71"/>
      <c r="BZ140" s="71"/>
      <c r="CA140" s="71"/>
      <c r="CC140" s="71"/>
    </row>
    <row r="141" spans="1:81" x14ac:dyDescent="0.2">
      <c r="A141">
        <f t="shared" si="106"/>
        <v>53500</v>
      </c>
      <c r="B141">
        <f t="shared" si="138"/>
        <v>53.5</v>
      </c>
      <c r="C141">
        <f t="shared" si="107"/>
        <v>3.4748878863827004</v>
      </c>
      <c r="D141">
        <f t="shared" si="108"/>
        <v>1.2788893334262221</v>
      </c>
      <c r="F141">
        <f t="shared" si="109"/>
        <v>1.7817176435959029E-3</v>
      </c>
      <c r="G141">
        <f t="shared" si="110"/>
        <v>1.7385486890212666E-2</v>
      </c>
      <c r="H141">
        <f t="shared" si="111"/>
        <v>-3.1242071631097876</v>
      </c>
      <c r="J141">
        <f t="shared" si="112"/>
        <v>15</v>
      </c>
      <c r="M141">
        <f t="shared" si="113"/>
        <v>6.3056059027099348E-2</v>
      </c>
      <c r="N141">
        <f t="shared" si="114"/>
        <v>-1.5707963250000001</v>
      </c>
      <c r="O141">
        <f t="shared" si="115"/>
        <v>15.884362253113915</v>
      </c>
      <c r="P141">
        <f t="shared" si="116"/>
        <v>1.5077996688085684</v>
      </c>
      <c r="Q141">
        <f t="shared" si="117"/>
        <v>21.986820689831379</v>
      </c>
      <c r="R141">
        <f t="shared" si="118"/>
        <v>1.5252988398684297</v>
      </c>
      <c r="S141">
        <f t="shared" si="119"/>
        <v>0.44779860125840226</v>
      </c>
      <c r="T141">
        <f t="shared" si="120"/>
        <v>-1.1064945544434608</v>
      </c>
      <c r="U141">
        <f t="shared" si="121"/>
        <v>0.9999817089372619</v>
      </c>
      <c r="V141">
        <f t="shared" si="122"/>
        <v>-6.0483251398697341E-3</v>
      </c>
      <c r="X141">
        <f t="shared" si="139"/>
        <v>-0.76390465499197902</v>
      </c>
      <c r="Y141">
        <f t="shared" si="123"/>
        <v>-85.689191629023469</v>
      </c>
      <c r="Z141">
        <f t="shared" si="140"/>
        <v>94.310808370976531</v>
      </c>
      <c r="AC141">
        <v>1</v>
      </c>
      <c r="AD141">
        <f t="shared" si="124"/>
        <v>15.852853503018002</v>
      </c>
      <c r="AE141">
        <f t="shared" si="125"/>
        <v>-5.3289432609870667E-6</v>
      </c>
      <c r="AF141">
        <f t="shared" si="126"/>
        <v>8.8105023391455014E-4</v>
      </c>
      <c r="AG141">
        <f t="shared" si="141"/>
        <v>17985.609434784175</v>
      </c>
      <c r="AH141">
        <f t="shared" si="142"/>
        <v>-1243.7932027137065</v>
      </c>
      <c r="AJ141">
        <f t="shared" si="127"/>
        <v>18000</v>
      </c>
      <c r="AK141">
        <f t="shared" si="128"/>
        <v>35941.202216765996</v>
      </c>
      <c r="AL141">
        <v>1</v>
      </c>
      <c r="AM141">
        <f t="shared" si="129"/>
        <v>21.964068021357001</v>
      </c>
      <c r="AN141">
        <f t="shared" si="143"/>
        <v>1670.2133462406264</v>
      </c>
      <c r="AO141">
        <f t="shared" si="144"/>
        <v>-743.47733024141644</v>
      </c>
      <c r="AQ141">
        <f t="shared" si="130"/>
        <v>0.8733624454148472</v>
      </c>
      <c r="AR141">
        <f t="shared" si="131"/>
        <v>-93.449781659388648</v>
      </c>
      <c r="AT141">
        <f t="shared" si="104"/>
        <v>-100524.24738478813</v>
      </c>
      <c r="AU141">
        <f t="shared" si="105"/>
        <v>-1681837.5569647341</v>
      </c>
      <c r="AV141">
        <f t="shared" si="145"/>
        <v>-1.6304957876136046</v>
      </c>
      <c r="AW141">
        <f t="shared" si="146"/>
        <v>-26122.589122849331</v>
      </c>
      <c r="AX141">
        <f t="shared" si="147"/>
        <v>-170519.21142473965</v>
      </c>
      <c r="AY141">
        <f t="shared" si="155"/>
        <v>-1.7228089133269961</v>
      </c>
      <c r="BA141">
        <f t="shared" si="132"/>
        <v>9.7667003537768178</v>
      </c>
      <c r="BB141">
        <f t="shared" si="148"/>
        <v>19.794957271939765</v>
      </c>
      <c r="BC141">
        <f t="shared" si="149"/>
        <v>9.2313125713391564E-2</v>
      </c>
      <c r="BD141">
        <f t="shared" si="133"/>
        <v>-174.71084749691832</v>
      </c>
      <c r="BF141">
        <f t="shared" si="134"/>
        <v>-0.84762399198362193</v>
      </c>
      <c r="BG141">
        <f t="shared" si="135"/>
        <v>-100.4397711188404</v>
      </c>
      <c r="BH141">
        <f t="shared" si="150"/>
        <v>79.560228881159603</v>
      </c>
      <c r="BI141">
        <f t="shared" si="151"/>
        <v>79.560228881159603</v>
      </c>
      <c r="BJ141">
        <f t="shared" si="136"/>
        <v>0</v>
      </c>
      <c r="BK141">
        <f t="shared" si="152"/>
        <v>0</v>
      </c>
      <c r="BM141">
        <f t="shared" si="153"/>
        <v>-20.642581263923386</v>
      </c>
      <c r="BN141">
        <f t="shared" si="137"/>
        <v>-105.72892362192208</v>
      </c>
      <c r="BQ141" s="66">
        <f t="shared" si="154"/>
        <v>36.696918072224904</v>
      </c>
      <c r="BR141" s="71"/>
      <c r="BS141" s="71"/>
      <c r="BT141" s="71">
        <v>2041.7380000000001</v>
      </c>
      <c r="BU141" s="71">
        <v>9.0884699999999992</v>
      </c>
      <c r="BV141" s="71">
        <v>-254.411</v>
      </c>
      <c r="BW141" s="75"/>
      <c r="BY141" s="71"/>
      <c r="BZ141" s="71"/>
      <c r="CA141" s="71"/>
      <c r="CC141" s="71"/>
    </row>
    <row r="142" spans="1:81" x14ac:dyDescent="0.2">
      <c r="A142">
        <f t="shared" si="106"/>
        <v>54000</v>
      </c>
      <c r="B142">
        <f t="shared" si="138"/>
        <v>54</v>
      </c>
      <c r="C142">
        <f t="shared" si="107"/>
        <v>3.5046853791509385</v>
      </c>
      <c r="D142">
        <f t="shared" si="108"/>
        <v>1.2814431853053085</v>
      </c>
      <c r="F142">
        <f t="shared" si="109"/>
        <v>1.7488225841817975E-3</v>
      </c>
      <c r="G142">
        <f t="shared" si="110"/>
        <v>1.7223971708831665E-2</v>
      </c>
      <c r="H142">
        <f t="shared" si="111"/>
        <v>-3.1243686782911686</v>
      </c>
      <c r="J142">
        <f t="shared" si="112"/>
        <v>15</v>
      </c>
      <c r="M142">
        <f t="shared" si="113"/>
        <v>6.2472206628700282E-2</v>
      </c>
      <c r="N142">
        <f t="shared" si="114"/>
        <v>-1.5707963250000001</v>
      </c>
      <c r="O142">
        <f t="shared" si="115"/>
        <v>16.032228585530152</v>
      </c>
      <c r="P142">
        <f t="shared" si="116"/>
        <v>1.5083814504517037</v>
      </c>
      <c r="Q142">
        <f t="shared" si="117"/>
        <v>22.191881895722688</v>
      </c>
      <c r="R142">
        <f t="shared" si="118"/>
        <v>1.5257195398065186</v>
      </c>
      <c r="S142">
        <f t="shared" si="119"/>
        <v>0.44447451351661643</v>
      </c>
      <c r="T142">
        <f t="shared" si="120"/>
        <v>-1.1102087683495854</v>
      </c>
      <c r="U142">
        <f t="shared" si="121"/>
        <v>0.99998136546022753</v>
      </c>
      <c r="V142">
        <f t="shared" si="122"/>
        <v>-6.1048501450960187E-3</v>
      </c>
      <c r="X142">
        <f t="shared" si="139"/>
        <v>-0.83600611397879987</v>
      </c>
      <c r="Y142">
        <f t="shared" si="123"/>
        <v>-85.710730294717692</v>
      </c>
      <c r="Z142">
        <f t="shared" si="140"/>
        <v>94.289269705282308</v>
      </c>
      <c r="AC142">
        <v>1</v>
      </c>
      <c r="AD142">
        <f t="shared" si="124"/>
        <v>16.001011012392002</v>
      </c>
      <c r="AE142">
        <f t="shared" si="125"/>
        <v>-5.4290151276227746E-6</v>
      </c>
      <c r="AF142">
        <f t="shared" si="126"/>
        <v>8.892843482502E-4</v>
      </c>
      <c r="AG142">
        <f t="shared" si="141"/>
        <v>17985.597079272724</v>
      </c>
      <c r="AH142">
        <f t="shared" si="142"/>
        <v>-1234.3004583207594</v>
      </c>
      <c r="AJ142">
        <f t="shared" si="127"/>
        <v>18000</v>
      </c>
      <c r="AK142">
        <f t="shared" si="128"/>
        <v>36277.101302903997</v>
      </c>
      <c r="AL142">
        <v>1</v>
      </c>
      <c r="AM142">
        <f t="shared" si="129"/>
        <v>22.169339685108</v>
      </c>
      <c r="AN142">
        <f t="shared" si="143"/>
        <v>1669.5906687730858</v>
      </c>
      <c r="AO142">
        <f t="shared" si="144"/>
        <v>-736.62136821317597</v>
      </c>
      <c r="AQ142">
        <f t="shared" si="130"/>
        <v>0.85726532361765961</v>
      </c>
      <c r="AR142">
        <f t="shared" si="131"/>
        <v>-92.584654950707247</v>
      </c>
      <c r="AT142">
        <f t="shared" si="104"/>
        <v>-98858.853338507746</v>
      </c>
      <c r="AU142">
        <f t="shared" si="105"/>
        <v>-1666248.422648757</v>
      </c>
      <c r="AV142">
        <f t="shared" si="145"/>
        <v>-1.6300570586210623</v>
      </c>
      <c r="AW142">
        <f t="shared" si="146"/>
        <v>-24869.399814106539</v>
      </c>
      <c r="AX142">
        <f t="shared" si="147"/>
        <v>-168875.52138578601</v>
      </c>
      <c r="AY142">
        <f t="shared" si="155"/>
        <v>-1.7170100784744742</v>
      </c>
      <c r="BA142">
        <f t="shared" si="132"/>
        <v>9.7786110189202091</v>
      </c>
      <c r="BB142">
        <f t="shared" si="148"/>
        <v>19.805543415469003</v>
      </c>
      <c r="BC142">
        <f t="shared" si="149"/>
        <v>8.6953019853411861E-2</v>
      </c>
      <c r="BD142">
        <f t="shared" si="133"/>
        <v>-175.01795894078944</v>
      </c>
      <c r="BF142">
        <f t="shared" si="134"/>
        <v>-0.9247356058181837</v>
      </c>
      <c r="BG142">
        <f t="shared" si="135"/>
        <v>-100.60981176660209</v>
      </c>
      <c r="BH142">
        <f t="shared" si="150"/>
        <v>79.390188233397907</v>
      </c>
      <c r="BI142">
        <f t="shared" si="151"/>
        <v>79.390188233397907</v>
      </c>
      <c r="BJ142">
        <f t="shared" si="136"/>
        <v>0</v>
      </c>
      <c r="BK142">
        <f t="shared" si="152"/>
        <v>0</v>
      </c>
      <c r="BM142">
        <f t="shared" si="153"/>
        <v>-20.730279021287185</v>
      </c>
      <c r="BN142">
        <f t="shared" si="137"/>
        <v>-105.59185282581265</v>
      </c>
      <c r="BQ142" s="66">
        <f t="shared" si="154"/>
        <v>36.707504215754142</v>
      </c>
      <c r="BR142" s="71"/>
      <c r="BS142" s="71"/>
      <c r="BT142" s="71">
        <v>2089.2959999999998</v>
      </c>
      <c r="BU142" s="71">
        <v>8.9698600000000006</v>
      </c>
      <c r="BV142" s="71">
        <v>-254.113</v>
      </c>
      <c r="BW142" s="75"/>
      <c r="BY142" s="71"/>
      <c r="BZ142" s="71"/>
      <c r="CA142" s="71"/>
      <c r="CC142" s="71"/>
    </row>
    <row r="143" spans="1:81" x14ac:dyDescent="0.2">
      <c r="A143">
        <f t="shared" si="106"/>
        <v>54500</v>
      </c>
      <c r="B143">
        <f t="shared" si="138"/>
        <v>54.5</v>
      </c>
      <c r="C143">
        <f t="shared" si="107"/>
        <v>3.5345053445411234</v>
      </c>
      <c r="D143">
        <f t="shared" si="108"/>
        <v>1.2839539605823291</v>
      </c>
      <c r="F143">
        <f t="shared" si="109"/>
        <v>1.7168306476262564E-3</v>
      </c>
      <c r="G143">
        <f t="shared" si="110"/>
        <v>1.7065434755158398E-2</v>
      </c>
      <c r="H143">
        <f t="shared" si="111"/>
        <v>-3.124527215244842</v>
      </c>
      <c r="J143">
        <f t="shared" si="112"/>
        <v>15</v>
      </c>
      <c r="M143">
        <f t="shared" si="113"/>
        <v>6.1899067118345238E-2</v>
      </c>
      <c r="N143">
        <f t="shared" si="114"/>
        <v>-1.5707963250000001</v>
      </c>
      <c r="O143">
        <f t="shared" si="115"/>
        <v>16.180100245190012</v>
      </c>
      <c r="P143">
        <f t="shared" si="116"/>
        <v>1.5089525983564045</v>
      </c>
      <c r="Q143">
        <f t="shared" si="117"/>
        <v>22.396946957397788</v>
      </c>
      <c r="R143">
        <f t="shared" si="118"/>
        <v>1.5261325360113442</v>
      </c>
      <c r="S143">
        <f t="shared" si="119"/>
        <v>0.44119346020729949</v>
      </c>
      <c r="T143">
        <f t="shared" si="120"/>
        <v>-1.1138681964278725</v>
      </c>
      <c r="U143">
        <f t="shared" si="121"/>
        <v>0.99998101878841694</v>
      </c>
      <c r="V143">
        <f t="shared" si="122"/>
        <v>-6.1613751113109225E-3</v>
      </c>
      <c r="X143">
        <f t="shared" si="139"/>
        <v>-0.90755369607965286</v>
      </c>
      <c r="Y143">
        <f t="shared" si="123"/>
        <v>-85.732478088816066</v>
      </c>
      <c r="Z143">
        <f t="shared" si="140"/>
        <v>94.267521911183934</v>
      </c>
      <c r="AC143">
        <v>1</v>
      </c>
      <c r="AD143">
        <f t="shared" si="124"/>
        <v>16.149168521766001</v>
      </c>
      <c r="AE143">
        <f t="shared" si="125"/>
        <v>-5.5300178953434666E-6</v>
      </c>
      <c r="AF143">
        <f t="shared" si="126"/>
        <v>8.9751846258585009E-4</v>
      </c>
      <c r="AG143">
        <f t="shared" si="141"/>
        <v>17985.584608843488</v>
      </c>
      <c r="AH143">
        <f t="shared" si="142"/>
        <v>-1225.0005438077014</v>
      </c>
      <c r="AJ143">
        <f t="shared" si="127"/>
        <v>18000</v>
      </c>
      <c r="AK143">
        <f t="shared" si="128"/>
        <v>36613.000389041998</v>
      </c>
      <c r="AL143">
        <v>1</v>
      </c>
      <c r="AM143">
        <f t="shared" si="129"/>
        <v>22.374611348858998</v>
      </c>
      <c r="AN143">
        <f t="shared" si="143"/>
        <v>1668.9850049261825</v>
      </c>
      <c r="AO143">
        <f t="shared" si="144"/>
        <v>-729.89044325485565</v>
      </c>
      <c r="AQ143">
        <f t="shared" si="130"/>
        <v>0.84160915670762493</v>
      </c>
      <c r="AR143">
        <f t="shared" si="131"/>
        <v>-91.735398081131123</v>
      </c>
      <c r="AT143">
        <f t="shared" si="104"/>
        <v>-97239.07984025919</v>
      </c>
      <c r="AU143">
        <f t="shared" si="105"/>
        <v>-1650945.7354887628</v>
      </c>
      <c r="AV143">
        <f t="shared" si="145"/>
        <v>-1.6296273757995896</v>
      </c>
      <c r="AW143">
        <f t="shared" si="146"/>
        <v>-23650.42775391859</v>
      </c>
      <c r="AX143">
        <f t="shared" si="147"/>
        <v>-167263.91009631808</v>
      </c>
      <c r="AY143">
        <f t="shared" si="155"/>
        <v>-1.7112610517194922</v>
      </c>
      <c r="BA143">
        <f t="shared" si="132"/>
        <v>9.7900295441113414</v>
      </c>
      <c r="BB143">
        <f t="shared" si="148"/>
        <v>19.815680048167287</v>
      </c>
      <c r="BC143">
        <f t="shared" si="149"/>
        <v>8.163367591990256E-2</v>
      </c>
      <c r="BD143">
        <f t="shared" si="133"/>
        <v>-175.32273489830629</v>
      </c>
      <c r="BF143">
        <f t="shared" si="134"/>
        <v>-1.0013727687129317</v>
      </c>
      <c r="BG143">
        <f t="shared" si="135"/>
        <v>-100.77981439562822</v>
      </c>
      <c r="BH143">
        <f t="shared" si="150"/>
        <v>79.220185604371778</v>
      </c>
      <c r="BI143">
        <f t="shared" si="151"/>
        <v>79.220185604371778</v>
      </c>
      <c r="BJ143">
        <f t="shared" si="136"/>
        <v>0</v>
      </c>
      <c r="BK143">
        <f t="shared" si="152"/>
        <v>0</v>
      </c>
      <c r="BM143">
        <f t="shared" si="153"/>
        <v>-20.817052816880217</v>
      </c>
      <c r="BN143">
        <f t="shared" si="137"/>
        <v>-105.45707949732194</v>
      </c>
      <c r="BQ143" s="66">
        <f t="shared" si="154"/>
        <v>36.717640848452426</v>
      </c>
      <c r="BR143" s="71"/>
      <c r="BS143" s="71"/>
      <c r="BT143" s="71">
        <v>2137.962</v>
      </c>
      <c r="BU143" s="71">
        <v>8.68736</v>
      </c>
      <c r="BV143" s="71">
        <v>-254.34</v>
      </c>
      <c r="BW143" s="75"/>
      <c r="BY143" s="71"/>
      <c r="BZ143" s="71"/>
      <c r="CA143" s="71"/>
      <c r="CC143" s="71"/>
    </row>
    <row r="144" spans="1:81" x14ac:dyDescent="0.2">
      <c r="A144">
        <f t="shared" si="106"/>
        <v>55000</v>
      </c>
      <c r="B144">
        <f t="shared" si="138"/>
        <v>55</v>
      </c>
      <c r="C144">
        <f t="shared" si="107"/>
        <v>3.5643472185233933</v>
      </c>
      <c r="D144">
        <f t="shared" si="108"/>
        <v>1.2864227091517904</v>
      </c>
      <c r="F144">
        <f t="shared" si="109"/>
        <v>1.6857090572735601E-3</v>
      </c>
      <c r="G144">
        <f t="shared" si="110"/>
        <v>1.6909794278120453E-2</v>
      </c>
      <c r="H144">
        <f t="shared" si="111"/>
        <v>-3.1246828557218795</v>
      </c>
      <c r="J144">
        <f t="shared" si="112"/>
        <v>15</v>
      </c>
      <c r="M144">
        <f t="shared" si="113"/>
        <v>6.1336348326360271E-2</v>
      </c>
      <c r="N144">
        <f t="shared" si="114"/>
        <v>-1.5707963250000001</v>
      </c>
      <c r="O144">
        <f t="shared" si="115"/>
        <v>16.327977087357564</v>
      </c>
      <c r="P144">
        <f t="shared" si="116"/>
        <v>1.5095134010631606</v>
      </c>
      <c r="Q144">
        <f t="shared" si="117"/>
        <v>22.602015769907641</v>
      </c>
      <c r="R144">
        <f t="shared" si="118"/>
        <v>1.5265380380287219</v>
      </c>
      <c r="S144">
        <f t="shared" si="119"/>
        <v>0.43795475606661338</v>
      </c>
      <c r="T144">
        <f t="shared" si="120"/>
        <v>-1.117473946090594</v>
      </c>
      <c r="U144">
        <f t="shared" si="121"/>
        <v>0.9999806689218399</v>
      </c>
      <c r="V144">
        <f t="shared" si="122"/>
        <v>-6.2179000381532828E-3</v>
      </c>
      <c r="X144">
        <f t="shared" si="139"/>
        <v>-0.97855585408326395</v>
      </c>
      <c r="Y144">
        <f t="shared" si="123"/>
        <v>-85.754414452571282</v>
      </c>
      <c r="Z144">
        <f t="shared" si="140"/>
        <v>94.245585547428718</v>
      </c>
      <c r="AC144">
        <v>1</v>
      </c>
      <c r="AD144">
        <f t="shared" si="124"/>
        <v>16.297326031140003</v>
      </c>
      <c r="AE144">
        <f t="shared" si="125"/>
        <v>-5.631951564149141E-6</v>
      </c>
      <c r="AF144">
        <f t="shared" si="126"/>
        <v>9.0575257692150006E-4</v>
      </c>
      <c r="AG144">
        <f t="shared" si="141"/>
        <v>17985.572023496967</v>
      </c>
      <c r="AH144">
        <f t="shared" si="142"/>
        <v>-1215.8882001009179</v>
      </c>
      <c r="AJ144">
        <f t="shared" si="127"/>
        <v>18000</v>
      </c>
      <c r="AK144">
        <f t="shared" si="128"/>
        <v>36948.899475179998</v>
      </c>
      <c r="AL144">
        <v>1</v>
      </c>
      <c r="AM144">
        <f t="shared" si="129"/>
        <v>22.579883012610001</v>
      </c>
      <c r="AN144">
        <f t="shared" si="143"/>
        <v>1668.3957408721203</v>
      </c>
      <c r="AO144">
        <f t="shared" si="144"/>
        <v>-723.28117244926841</v>
      </c>
      <c r="AQ144">
        <f t="shared" si="130"/>
        <v>0.82637798529047191</v>
      </c>
      <c r="AR144">
        <f t="shared" si="131"/>
        <v>-90.901578381951907</v>
      </c>
      <c r="AT144">
        <f t="shared" si="104"/>
        <v>-95663.275752089918</v>
      </c>
      <c r="AU144">
        <f t="shared" si="105"/>
        <v>-1635921.6682792888</v>
      </c>
      <c r="AV144">
        <f t="shared" si="145"/>
        <v>-1.6292064938997262</v>
      </c>
      <c r="AW144">
        <f t="shared" si="146"/>
        <v>-22464.439560017141</v>
      </c>
      <c r="AX144">
        <f t="shared" si="147"/>
        <v>-165683.43557318478</v>
      </c>
      <c r="AY144">
        <f t="shared" si="155"/>
        <v>-1.7055610266123733</v>
      </c>
      <c r="BA144">
        <f t="shared" si="132"/>
        <v>9.800967887727003</v>
      </c>
      <c r="BB144">
        <f t="shared" si="148"/>
        <v>19.825379325161439</v>
      </c>
      <c r="BC144">
        <f t="shared" si="149"/>
        <v>7.6354532712647138E-2</v>
      </c>
      <c r="BD144">
        <f t="shared" si="133"/>
        <v>-175.6252075238728</v>
      </c>
      <c r="BF144">
        <f t="shared" si="134"/>
        <v>-1.077543009537717</v>
      </c>
      <c r="BG144">
        <f t="shared" si="135"/>
        <v>-100.94975568978987</v>
      </c>
      <c r="BH144">
        <f t="shared" si="150"/>
        <v>79.050244310210132</v>
      </c>
      <c r="BI144">
        <f t="shared" si="151"/>
        <v>79.050244310210132</v>
      </c>
      <c r="BJ144">
        <f t="shared" si="136"/>
        <v>0</v>
      </c>
      <c r="BK144">
        <f t="shared" si="152"/>
        <v>0</v>
      </c>
      <c r="BM144">
        <f t="shared" si="153"/>
        <v>-20.902922334699152</v>
      </c>
      <c r="BN144">
        <f t="shared" si="137"/>
        <v>-105.32454816591707</v>
      </c>
      <c r="BQ144" s="66">
        <f t="shared" si="154"/>
        <v>36.727340125446574</v>
      </c>
      <c r="BR144" s="71"/>
      <c r="BS144" s="71"/>
      <c r="BT144" s="71">
        <v>2187.7620000000002</v>
      </c>
      <c r="BU144" s="71">
        <v>8.5308799999999998</v>
      </c>
      <c r="BV144" s="71">
        <v>-253.785</v>
      </c>
      <c r="BW144" s="75"/>
      <c r="BY144" s="71"/>
      <c r="BZ144" s="71"/>
      <c r="CA144" s="71"/>
      <c r="CC144" s="71"/>
    </row>
    <row r="145" spans="1:81" x14ac:dyDescent="0.2">
      <c r="A145">
        <f t="shared" si="106"/>
        <v>55500</v>
      </c>
      <c r="B145">
        <f t="shared" si="138"/>
        <v>55.5</v>
      </c>
      <c r="C145">
        <f t="shared" si="107"/>
        <v>3.5942104553923127</v>
      </c>
      <c r="D145">
        <f t="shared" si="108"/>
        <v>1.2888504481029053</v>
      </c>
      <c r="F145">
        <f t="shared" si="109"/>
        <v>1.6554265107636323E-3</v>
      </c>
      <c r="G145">
        <f t="shared" si="110"/>
        <v>1.675697149610442E-2</v>
      </c>
      <c r="H145">
        <f t="shared" si="111"/>
        <v>-3.1248356785038958</v>
      </c>
      <c r="J145">
        <f t="shared" si="112"/>
        <v>15</v>
      </c>
      <c r="M145">
        <f t="shared" si="113"/>
        <v>6.078376861170838E-2</v>
      </c>
      <c r="N145">
        <f t="shared" si="114"/>
        <v>-1.5707963250000001</v>
      </c>
      <c r="O145">
        <f t="shared" si="115"/>
        <v>16.475858972488108</v>
      </c>
      <c r="P145">
        <f t="shared" si="116"/>
        <v>1.5100641367796603</v>
      </c>
      <c r="Q145">
        <f t="shared" si="117"/>
        <v>22.807088232075913</v>
      </c>
      <c r="R145">
        <f t="shared" si="118"/>
        <v>1.526936247877916</v>
      </c>
      <c r="S145">
        <f t="shared" si="119"/>
        <v>0.43475772519239647</v>
      </c>
      <c r="T145">
        <f t="shared" si="120"/>
        <v>-1.1210270980839663</v>
      </c>
      <c r="U145">
        <f t="shared" si="121"/>
        <v>0.99998031586050651</v>
      </c>
      <c r="V145">
        <f t="shared" si="122"/>
        <v>-6.2744249252619415E-3</v>
      </c>
      <c r="X145">
        <f t="shared" si="139"/>
        <v>-1.0490208276887096</v>
      </c>
      <c r="Y145">
        <f t="shared" si="123"/>
        <v>-85.776520032116707</v>
      </c>
      <c r="Z145">
        <f t="shared" si="140"/>
        <v>94.223479967883293</v>
      </c>
      <c r="AC145">
        <v>1</v>
      </c>
      <c r="AD145">
        <f t="shared" si="124"/>
        <v>16.445483540514001</v>
      </c>
      <c r="AE145">
        <f t="shared" si="125"/>
        <v>-5.7348161340397987E-6</v>
      </c>
      <c r="AF145">
        <f t="shared" si="126"/>
        <v>9.1398669125714992E-4</v>
      </c>
      <c r="AG145">
        <f t="shared" si="141"/>
        <v>17985.559323233618</v>
      </c>
      <c r="AH145">
        <f t="shared" si="142"/>
        <v>-1206.9583576422569</v>
      </c>
      <c r="AJ145">
        <f t="shared" si="127"/>
        <v>18000</v>
      </c>
      <c r="AK145">
        <f t="shared" si="128"/>
        <v>37284.798561317999</v>
      </c>
      <c r="AL145">
        <v>1</v>
      </c>
      <c r="AM145">
        <f t="shared" si="129"/>
        <v>22.785154676361</v>
      </c>
      <c r="AN145">
        <f t="shared" si="143"/>
        <v>1667.822290200492</v>
      </c>
      <c r="AO145">
        <f t="shared" si="144"/>
        <v>-716.79029358285266</v>
      </c>
      <c r="AQ145">
        <f t="shared" si="130"/>
        <v>0.81155656549261479</v>
      </c>
      <c r="AR145">
        <f t="shared" si="131"/>
        <v>-90.082778769680246</v>
      </c>
      <c r="AT145">
        <f t="shared" si="104"/>
        <v>-94129.863962876887</v>
      </c>
      <c r="AU145">
        <f t="shared" si="105"/>
        <v>-1621168.6765432346</v>
      </c>
      <c r="AV145">
        <f t="shared" si="145"/>
        <v>-1.6287941764449778</v>
      </c>
      <c r="AW145">
        <f t="shared" si="146"/>
        <v>-21310.256881258963</v>
      </c>
      <c r="AX145">
        <f t="shared" si="147"/>
        <v>-164133.19274849517</v>
      </c>
      <c r="AY145">
        <f t="shared" si="155"/>
        <v>-1.6999092121842332</v>
      </c>
      <c r="BA145">
        <f t="shared" si="132"/>
        <v>9.8114376618193813</v>
      </c>
      <c r="BB145">
        <f t="shared" si="148"/>
        <v>19.834652977055974</v>
      </c>
      <c r="BC145">
        <f t="shared" si="149"/>
        <v>7.1115035739255372E-2</v>
      </c>
      <c r="BD145">
        <f t="shared" si="133"/>
        <v>-175.92540858756274</v>
      </c>
      <c r="BF145">
        <f t="shared" si="134"/>
        <v>-1.1532536597019054</v>
      </c>
      <c r="BG145">
        <f t="shared" si="135"/>
        <v>-101.11961365809545</v>
      </c>
      <c r="BH145">
        <f t="shared" si="150"/>
        <v>78.880386341904554</v>
      </c>
      <c r="BI145">
        <f t="shared" si="151"/>
        <v>78.880386341904554</v>
      </c>
      <c r="BJ145">
        <f t="shared" si="136"/>
        <v>0</v>
      </c>
      <c r="BK145">
        <f t="shared" si="152"/>
        <v>0</v>
      </c>
      <c r="BM145">
        <f t="shared" si="153"/>
        <v>-20.987906636757877</v>
      </c>
      <c r="BN145">
        <f t="shared" si="137"/>
        <v>-105.1942050705327</v>
      </c>
      <c r="BQ145" s="66">
        <f t="shared" si="154"/>
        <v>36.736613777341105</v>
      </c>
      <c r="BR145" s="71"/>
      <c r="BS145" s="71"/>
      <c r="BT145" s="71">
        <v>2238.721</v>
      </c>
      <c r="BU145" s="71">
        <v>8.3496900000000007</v>
      </c>
      <c r="BV145" s="71">
        <v>-253.78300000000002</v>
      </c>
      <c r="BW145" s="75"/>
      <c r="BY145" s="71"/>
      <c r="BZ145" s="71"/>
      <c r="CA145" s="71"/>
      <c r="CC145" s="71"/>
    </row>
    <row r="146" spans="1:81" x14ac:dyDescent="0.2">
      <c r="A146">
        <f t="shared" si="106"/>
        <v>56000</v>
      </c>
      <c r="B146">
        <f t="shared" si="138"/>
        <v>56</v>
      </c>
      <c r="C146">
        <f t="shared" si="107"/>
        <v>3.6240945270450196</v>
      </c>
      <c r="D146">
        <f t="shared" si="108"/>
        <v>1.2912381629473078</v>
      </c>
      <c r="F146">
        <f t="shared" si="109"/>
        <v>1.62595310112667E-3</v>
      </c>
      <c r="G146">
        <f t="shared" si="110"/>
        <v>1.6606890463145792E-2</v>
      </c>
      <c r="H146">
        <f t="shared" si="111"/>
        <v>-3.1249857595368544</v>
      </c>
      <c r="J146">
        <f t="shared" si="112"/>
        <v>15</v>
      </c>
      <c r="M146">
        <f t="shared" si="113"/>
        <v>6.0241056391960993E-2</v>
      </c>
      <c r="N146">
        <f t="shared" si="114"/>
        <v>-1.5707963250000001</v>
      </c>
      <c r="O146">
        <f t="shared" si="115"/>
        <v>16.623745765997754</v>
      </c>
      <c r="P146">
        <f t="shared" si="116"/>
        <v>1.5106050738386569</v>
      </c>
      <c r="Q146">
        <f t="shared" si="117"/>
        <v>23.012164246331022</v>
      </c>
      <c r="R146">
        <f t="shared" si="118"/>
        <v>1.5273273603863475</v>
      </c>
      <c r="S146">
        <f t="shared" si="119"/>
        <v>0.431601701147595</v>
      </c>
      <c r="T146">
        <f t="shared" si="120"/>
        <v>-1.1245287071670822</v>
      </c>
      <c r="U146">
        <f t="shared" si="121"/>
        <v>0.99997995960442709</v>
      </c>
      <c r="V146">
        <f t="shared" si="122"/>
        <v>-6.3309497722757379E-3</v>
      </c>
      <c r="X146">
        <f t="shared" si="139"/>
        <v>-1.1189566519648926</v>
      </c>
      <c r="Y146">
        <f t="shared" si="123"/>
        <v>-85.798776609278733</v>
      </c>
      <c r="Z146">
        <f t="shared" si="140"/>
        <v>94.201223390721267</v>
      </c>
      <c r="AC146">
        <v>1</v>
      </c>
      <c r="AD146">
        <f t="shared" si="124"/>
        <v>16.593641049888003</v>
      </c>
      <c r="AE146">
        <f t="shared" si="125"/>
        <v>-5.8386116050154405E-6</v>
      </c>
      <c r="AF146">
        <f t="shared" si="126"/>
        <v>9.222208055928E-4</v>
      </c>
      <c r="AG146">
        <f t="shared" si="141"/>
        <v>17985.546508053943</v>
      </c>
      <c r="AH146">
        <f t="shared" si="142"/>
        <v>-1198.2061279285194</v>
      </c>
      <c r="AJ146">
        <f t="shared" si="127"/>
        <v>18000</v>
      </c>
      <c r="AK146">
        <f t="shared" si="128"/>
        <v>37620.697647456</v>
      </c>
      <c r="AL146">
        <v>1</v>
      </c>
      <c r="AM146">
        <f t="shared" si="129"/>
        <v>22.990426340111998</v>
      </c>
      <c r="AN146">
        <f t="shared" si="143"/>
        <v>1667.2640924626587</v>
      </c>
      <c r="AO146">
        <f t="shared" si="144"/>
        <v>-710.4146598204311</v>
      </c>
      <c r="AQ146">
        <f t="shared" si="130"/>
        <v>0.79713033080908724</v>
      </c>
      <c r="AR146">
        <f t="shared" si="131"/>
        <v>-89.278597050617776</v>
      </c>
      <c r="AT146">
        <f t="shared" si="104"/>
        <v>-92637.337441163996</v>
      </c>
      <c r="AU146">
        <f t="shared" si="105"/>
        <v>-1606679.4858748266</v>
      </c>
      <c r="AV146">
        <f t="shared" si="145"/>
        <v>-1.6283901953435753</v>
      </c>
      <c r="AW146">
        <f t="shared" si="146"/>
        <v>-20186.753479614694</v>
      </c>
      <c r="AX146">
        <f t="shared" si="147"/>
        <v>-162612.31166537976</v>
      </c>
      <c r="AY146">
        <f t="shared" si="155"/>
        <v>-1.6943048327716967</v>
      </c>
      <c r="BA146">
        <f t="shared" si="132"/>
        <v>9.8214501431332195</v>
      </c>
      <c r="BB146">
        <f t="shared" si="148"/>
        <v>19.843512327356226</v>
      </c>
      <c r="BC146">
        <f t="shared" si="149"/>
        <v>6.5914637428121425E-2</v>
      </c>
      <c r="BD146">
        <f t="shared" si="133"/>
        <v>-176.22336946291816</v>
      </c>
      <c r="BF146">
        <f t="shared" si="134"/>
        <v>-1.2285118613266055</v>
      </c>
      <c r="BG146">
        <f t="shared" si="135"/>
        <v>-101.28936755981286</v>
      </c>
      <c r="BH146">
        <f t="shared" si="150"/>
        <v>78.71063244018714</v>
      </c>
      <c r="BI146">
        <f t="shared" si="151"/>
        <v>78.71063244018714</v>
      </c>
      <c r="BJ146">
        <f t="shared" si="136"/>
        <v>0</v>
      </c>
      <c r="BK146">
        <f t="shared" si="152"/>
        <v>0</v>
      </c>
      <c r="BM146">
        <f t="shared" si="153"/>
        <v>-21.072024188682832</v>
      </c>
      <c r="BN146">
        <f t="shared" si="137"/>
        <v>-105.0659980968947</v>
      </c>
      <c r="BQ146" s="66">
        <f t="shared" si="154"/>
        <v>36.745473127641361</v>
      </c>
      <c r="BR146" s="71"/>
      <c r="BS146" s="71"/>
      <c r="BT146" s="71">
        <v>2290.8679999999999</v>
      </c>
      <c r="BU146" s="71">
        <v>8.2818299999999994</v>
      </c>
      <c r="BV146" s="71">
        <v>-253.62</v>
      </c>
      <c r="BW146" s="75"/>
      <c r="BY146" s="71"/>
      <c r="BZ146" s="71"/>
      <c r="CA146" s="71"/>
      <c r="CC146" s="71"/>
    </row>
    <row r="147" spans="1:81" x14ac:dyDescent="0.2">
      <c r="A147">
        <f t="shared" si="106"/>
        <v>56500</v>
      </c>
      <c r="B147">
        <f t="shared" si="138"/>
        <v>56.5</v>
      </c>
      <c r="C147">
        <f t="shared" si="107"/>
        <v>3.6539989222924234</v>
      </c>
      <c r="D147">
        <f t="shared" si="108"/>
        <v>1.2935868087942495</v>
      </c>
      <c r="F147">
        <f t="shared" si="109"/>
        <v>1.5972602427634477E-3</v>
      </c>
      <c r="G147">
        <f t="shared" si="110"/>
        <v>1.6459477942300134E-2</v>
      </c>
      <c r="H147">
        <f t="shared" si="111"/>
        <v>-3.1251331720577</v>
      </c>
      <c r="J147">
        <f t="shared" si="112"/>
        <v>15</v>
      </c>
      <c r="M147">
        <f t="shared" si="113"/>
        <v>5.9707949698226813E-2</v>
      </c>
      <c r="N147">
        <f t="shared" si="114"/>
        <v>-1.5707963250000001</v>
      </c>
      <c r="O147">
        <f t="shared" si="115"/>
        <v>16.771637338045061</v>
      </c>
      <c r="P147">
        <f t="shared" si="116"/>
        <v>1.511136471131729</v>
      </c>
      <c r="Q147">
        <f t="shared" si="117"/>
        <v>23.217243718547081</v>
      </c>
      <c r="R147">
        <f t="shared" si="118"/>
        <v>1.5277115635066074</v>
      </c>
      <c r="S147">
        <f t="shared" si="119"/>
        <v>0.42848602704047956</v>
      </c>
      <c r="T147">
        <f t="shared" si="120"/>
        <v>-1.1279798027762171</v>
      </c>
      <c r="U147">
        <f t="shared" si="121"/>
        <v>0.99997960015361165</v>
      </c>
      <c r="V147">
        <f t="shared" si="122"/>
        <v>-6.3874745788335156E-3</v>
      </c>
      <c r="X147">
        <f t="shared" si="139"/>
        <v>-1.1883711653341211</v>
      </c>
      <c r="Y147">
        <f t="shared" si="123"/>
        <v>-85.821167036544225</v>
      </c>
      <c r="Z147">
        <f t="shared" si="140"/>
        <v>94.178832963455775</v>
      </c>
      <c r="AC147">
        <v>1</v>
      </c>
      <c r="AD147">
        <f t="shared" si="124"/>
        <v>16.741798559262001</v>
      </c>
      <c r="AE147">
        <f t="shared" si="125"/>
        <v>-5.9433379770760648E-6</v>
      </c>
      <c r="AF147">
        <f t="shared" si="126"/>
        <v>9.3045491992845009E-4</v>
      </c>
      <c r="AG147">
        <f t="shared" si="141"/>
        <v>17985.533577958424</v>
      </c>
      <c r="AH147">
        <f t="shared" si="142"/>
        <v>-1189.6267955001783</v>
      </c>
      <c r="AJ147">
        <f t="shared" si="127"/>
        <v>18000</v>
      </c>
      <c r="AK147">
        <f t="shared" si="128"/>
        <v>37956.596733594</v>
      </c>
      <c r="AL147">
        <v>1</v>
      </c>
      <c r="AM147">
        <f t="shared" si="129"/>
        <v>23.195698003863001</v>
      </c>
      <c r="AN147">
        <f t="shared" si="143"/>
        <v>1666.7206118054448</v>
      </c>
      <c r="AO147">
        <f t="shared" si="144"/>
        <v>-704.15123465887586</v>
      </c>
      <c r="AQ147">
        <f t="shared" si="130"/>
        <v>0.78308535630383713</v>
      </c>
      <c r="AR147">
        <f t="shared" si="131"/>
        <v>-88.488645262333591</v>
      </c>
      <c r="AT147">
        <f t="shared" si="104"/>
        <v>-91184.255531371746</v>
      </c>
      <c r="AU147">
        <f t="shared" si="105"/>
        <v>-1592447.0799567753</v>
      </c>
      <c r="AV147">
        <f t="shared" si="145"/>
        <v>-1.6279943305206399</v>
      </c>
      <c r="AW147">
        <f t="shared" si="146"/>
        <v>-19092.852490946218</v>
      </c>
      <c r="AX147">
        <f t="shared" si="147"/>
        <v>-161119.95577905123</v>
      </c>
      <c r="AY147">
        <f t="shared" si="155"/>
        <v>-1.688747127829868</v>
      </c>
      <c r="BA147">
        <f t="shared" si="132"/>
        <v>9.8310162837931774</v>
      </c>
      <c r="BB147">
        <f t="shared" si="148"/>
        <v>19.85196830909328</v>
      </c>
      <c r="BC147">
        <f t="shared" si="149"/>
        <v>6.0752797309228113E-2</v>
      </c>
      <c r="BD147">
        <f t="shared" si="133"/>
        <v>-176.51912111659001</v>
      </c>
      <c r="BF147">
        <f t="shared" si="134"/>
        <v>-1.3033245749361848</v>
      </c>
      <c r="BG147">
        <f t="shared" si="135"/>
        <v>-101.45899783403173</v>
      </c>
      <c r="BH147">
        <f t="shared" si="150"/>
        <v>78.541002165968266</v>
      </c>
      <c r="BI147">
        <f t="shared" si="151"/>
        <v>78.541002165968266</v>
      </c>
      <c r="BJ147">
        <f t="shared" si="136"/>
        <v>0</v>
      </c>
      <c r="BK147">
        <f t="shared" si="152"/>
        <v>0</v>
      </c>
      <c r="BM147">
        <f t="shared" si="153"/>
        <v>-21.155292884029468</v>
      </c>
      <c r="BN147">
        <f t="shared" si="137"/>
        <v>-104.93987671744172</v>
      </c>
      <c r="BQ147" s="66">
        <f t="shared" si="154"/>
        <v>36.753929109378419</v>
      </c>
      <c r="BR147" s="71"/>
      <c r="BS147" s="71"/>
      <c r="BT147" s="71">
        <v>2344.2289999999998</v>
      </c>
      <c r="BU147" s="71">
        <v>8.0662299999999991</v>
      </c>
      <c r="BV147" s="71">
        <v>-253.17099999999999</v>
      </c>
      <c r="BW147" s="75"/>
      <c r="BY147" s="71"/>
      <c r="BZ147" s="71"/>
      <c r="CA147" s="71"/>
      <c r="CC147" s="71"/>
    </row>
    <row r="148" spans="1:81" x14ac:dyDescent="0.2">
      <c r="A148">
        <f t="shared" si="106"/>
        <v>57000</v>
      </c>
      <c r="B148">
        <f t="shared" si="138"/>
        <v>57</v>
      </c>
      <c r="C148">
        <f t="shared" si="107"/>
        <v>3.6839231462017499</v>
      </c>
      <c r="D148">
        <f t="shared" si="108"/>
        <v>1.295897311475755</v>
      </c>
      <c r="F148">
        <f t="shared" si="109"/>
        <v>1.5693206019684368E-3</v>
      </c>
      <c r="G148">
        <f t="shared" si="110"/>
        <v>1.6314663285749403E-2</v>
      </c>
      <c r="H148">
        <f t="shared" si="111"/>
        <v>-3.1252779867142508</v>
      </c>
      <c r="J148">
        <f t="shared" si="112"/>
        <v>15</v>
      </c>
      <c r="M148">
        <f t="shared" si="113"/>
        <v>5.9184195753505531E-2</v>
      </c>
      <c r="N148">
        <f t="shared" si="114"/>
        <v>-1.5707963250000001</v>
      </c>
      <c r="O148">
        <f t="shared" si="115"/>
        <v>16.919533563324201</v>
      </c>
      <c r="P148">
        <f t="shared" si="116"/>
        <v>1.5116585785204051</v>
      </c>
      <c r="Q148">
        <f t="shared" si="117"/>
        <v>23.422326557893228</v>
      </c>
      <c r="R148">
        <f t="shared" si="118"/>
        <v>1.5280890386168602</v>
      </c>
      <c r="S148">
        <f t="shared" si="119"/>
        <v>0.42541005558357381</v>
      </c>
      <c r="T148">
        <f t="shared" si="120"/>
        <v>-1.1313813896744795</v>
      </c>
      <c r="U148">
        <f t="shared" si="121"/>
        <v>0.99997923750807094</v>
      </c>
      <c r="V148">
        <f t="shared" si="122"/>
        <v>-6.4439993445741181E-3</v>
      </c>
      <c r="X148">
        <f t="shared" si="139"/>
        <v>-1.2572720171127938</v>
      </c>
      <c r="Y148">
        <f t="shared" si="123"/>
        <v>-85.843675175917895</v>
      </c>
      <c r="Z148">
        <f t="shared" si="140"/>
        <v>94.156324824082105</v>
      </c>
      <c r="AC148">
        <v>1</v>
      </c>
      <c r="AD148">
        <f t="shared" si="124"/>
        <v>16.889956068636003</v>
      </c>
      <c r="AE148">
        <f t="shared" si="125"/>
        <v>-6.0489952502216723E-6</v>
      </c>
      <c r="AF148">
        <f t="shared" si="126"/>
        <v>9.3868903426410006E-4</v>
      </c>
      <c r="AG148">
        <f t="shared" si="141"/>
        <v>17985.520532947572</v>
      </c>
      <c r="AH148">
        <f t="shared" si="142"/>
        <v>-1181.2158103517431</v>
      </c>
      <c r="AJ148">
        <f t="shared" si="127"/>
        <v>18000</v>
      </c>
      <c r="AK148">
        <f t="shared" si="128"/>
        <v>38292.495819732001</v>
      </c>
      <c r="AL148">
        <v>1</v>
      </c>
      <c r="AM148">
        <f t="shared" si="129"/>
        <v>23.400969667614</v>
      </c>
      <c r="AN148">
        <f t="shared" si="143"/>
        <v>1666.1913356879434</v>
      </c>
      <c r="AO148">
        <f t="shared" si="144"/>
        <v>-697.99708714281996</v>
      </c>
      <c r="AQ148">
        <f t="shared" si="130"/>
        <v>0.76940832499807643</v>
      </c>
      <c r="AR148">
        <f t="shared" si="131"/>
        <v>-87.712549049780719</v>
      </c>
      <c r="AT148">
        <f t="shared" si="104"/>
        <v>-89769.240476380044</v>
      </c>
      <c r="AU148">
        <f t="shared" si="105"/>
        <v>-1578464.6892101062</v>
      </c>
      <c r="AV148">
        <f t="shared" si="145"/>
        <v>-1.6276063695695193</v>
      </c>
      <c r="AW148">
        <f t="shared" si="146"/>
        <v>-18027.523852171773</v>
      </c>
      <c r="AX148">
        <f t="shared" si="147"/>
        <v>-159655.32035604527</v>
      </c>
      <c r="AY148">
        <f t="shared" si="155"/>
        <v>-1.6832353517351302</v>
      </c>
      <c r="BA148">
        <f t="shared" si="132"/>
        <v>9.840146721667363</v>
      </c>
      <c r="BB148">
        <f t="shared" si="148"/>
        <v>19.860031480690768</v>
      </c>
      <c r="BC148">
        <f t="shared" si="149"/>
        <v>5.5628982165610852E-2</v>
      </c>
      <c r="BD148">
        <f t="shared" si="133"/>
        <v>-176.81269409965995</v>
      </c>
      <c r="BF148">
        <f t="shared" si="134"/>
        <v>-1.3776985867034326</v>
      </c>
      <c r="BG148">
        <f t="shared" si="135"/>
        <v>-101.62848603338796</v>
      </c>
      <c r="BH148">
        <f t="shared" si="150"/>
        <v>78.371513966612042</v>
      </c>
      <c r="BI148">
        <f t="shared" si="151"/>
        <v>78.371513966612042</v>
      </c>
      <c r="BJ148">
        <f t="shared" si="136"/>
        <v>0</v>
      </c>
      <c r="BK148">
        <f t="shared" si="152"/>
        <v>0</v>
      </c>
      <c r="BM148">
        <f t="shared" si="153"/>
        <v>-21.2377300673942</v>
      </c>
      <c r="BN148">
        <f t="shared" si="137"/>
        <v>-104.81579193372801</v>
      </c>
      <c r="BQ148" s="66">
        <f t="shared" si="154"/>
        <v>36.761992280975903</v>
      </c>
      <c r="BR148" s="71"/>
      <c r="BS148" s="71"/>
      <c r="BT148" s="71">
        <v>2398.8330000000001</v>
      </c>
      <c r="BU148" s="71">
        <v>7.8140200000000002</v>
      </c>
      <c r="BV148" s="71">
        <v>-252.65800000000002</v>
      </c>
      <c r="BW148" s="75"/>
      <c r="BY148" s="71"/>
      <c r="BZ148" s="71"/>
      <c r="CA148" s="71"/>
      <c r="CC148" s="71"/>
    </row>
    <row r="149" spans="1:81" x14ac:dyDescent="0.2">
      <c r="A149">
        <f t="shared" si="106"/>
        <v>57500</v>
      </c>
      <c r="B149">
        <f t="shared" si="138"/>
        <v>57.5</v>
      </c>
      <c r="C149">
        <f t="shared" si="107"/>
        <v>3.7138667194688191</v>
      </c>
      <c r="D149">
        <f t="shared" si="108"/>
        <v>1.2981705686240774</v>
      </c>
      <c r="F149">
        <f t="shared" si="109"/>
        <v>1.5421080316797291E-3</v>
      </c>
      <c r="G149">
        <f t="shared" si="110"/>
        <v>1.6172378321228517E-2</v>
      </c>
      <c r="H149">
        <f t="shared" si="111"/>
        <v>-3.1254202716787716</v>
      </c>
      <c r="J149">
        <f t="shared" si="112"/>
        <v>15</v>
      </c>
      <c r="M149">
        <f t="shared" si="113"/>
        <v>5.8669550573040269E-2</v>
      </c>
      <c r="N149">
        <f t="shared" si="114"/>
        <v>-1.5707963250000001</v>
      </c>
      <c r="O149">
        <f t="shared" si="115"/>
        <v>17.067434320868756</v>
      </c>
      <c r="P149">
        <f t="shared" si="116"/>
        <v>1.5121716372260132</v>
      </c>
      <c r="Q149">
        <f t="shared" si="117"/>
        <v>23.627412676690721</v>
      </c>
      <c r="R149">
        <f t="shared" si="118"/>
        <v>1.5284599608056411</v>
      </c>
      <c r="S149">
        <f t="shared" si="119"/>
        <v>0.4223731491330861</v>
      </c>
      <c r="T149">
        <f t="shared" si="120"/>
        <v>-1.1347344485868109</v>
      </c>
      <c r="U149">
        <f t="shared" si="121"/>
        <v>0.99997887166781474</v>
      </c>
      <c r="V149">
        <f t="shared" si="122"/>
        <v>-6.5005240691363916E-3</v>
      </c>
      <c r="X149">
        <f t="shared" si="139"/>
        <v>-1.3256666746401051</v>
      </c>
      <c r="Y149">
        <f t="shared" si="123"/>
        <v>-85.866285841424329</v>
      </c>
      <c r="Z149">
        <f t="shared" si="140"/>
        <v>94.133714158575671</v>
      </c>
      <c r="AC149">
        <v>1</v>
      </c>
      <c r="AD149">
        <f t="shared" si="124"/>
        <v>17.038113578010002</v>
      </c>
      <c r="AE149">
        <f t="shared" si="125"/>
        <v>-6.1555834244522648E-6</v>
      </c>
      <c r="AF149">
        <f t="shared" si="126"/>
        <v>9.4692314859975003E-4</v>
      </c>
      <c r="AG149">
        <f t="shared" si="141"/>
        <v>17985.507373021872</v>
      </c>
      <c r="AH149">
        <f t="shared" si="142"/>
        <v>-1172.9687807381063</v>
      </c>
      <c r="AJ149">
        <f t="shared" si="127"/>
        <v>18000</v>
      </c>
      <c r="AK149">
        <f t="shared" si="128"/>
        <v>38628.394905870002</v>
      </c>
      <c r="AL149">
        <v>1</v>
      </c>
      <c r="AM149">
        <f t="shared" si="129"/>
        <v>23.606241331364998</v>
      </c>
      <c r="AN149">
        <f t="shared" si="143"/>
        <v>1665.6757736757011</v>
      </c>
      <c r="AO149">
        <f t="shared" si="144"/>
        <v>-691.94938732670278</v>
      </c>
      <c r="AQ149">
        <f t="shared" si="130"/>
        <v>0.75608649629517621</v>
      </c>
      <c r="AR149">
        <f t="shared" si="131"/>
        <v>-86.949947073945253</v>
      </c>
      <c r="AT149">
        <f t="shared" si="104"/>
        <v>-88390.97415080927</v>
      </c>
      <c r="AU149">
        <f t="shared" si="105"/>
        <v>-1564725.7800379959</v>
      </c>
      <c r="AV149">
        <f t="shared" si="145"/>
        <v>-1.6272261074211378</v>
      </c>
      <c r="AW149">
        <f t="shared" si="146"/>
        <v>-16989.781883376239</v>
      </c>
      <c r="AX149">
        <f t="shared" si="147"/>
        <v>-158217.63096506626</v>
      </c>
      <c r="AY149">
        <f t="shared" si="155"/>
        <v>-1.6777687735792113</v>
      </c>
      <c r="BA149">
        <f t="shared" si="132"/>
        <v>9.8488517904131303</v>
      </c>
      <c r="BB149">
        <f t="shared" si="148"/>
        <v>19.867712041111133</v>
      </c>
      <c r="BC149">
        <f t="shared" si="149"/>
        <v>5.0542666158073457E-2</v>
      </c>
      <c r="BD149">
        <f t="shared" si="133"/>
        <v>-177.10411854049468</v>
      </c>
      <c r="BF149">
        <f t="shared" si="134"/>
        <v>-1.4516405152801848</v>
      </c>
      <c r="BG149">
        <f t="shared" si="135"/>
        <v>-101.79781476169155</v>
      </c>
      <c r="BH149">
        <f t="shared" si="150"/>
        <v>78.202185238308445</v>
      </c>
      <c r="BI149">
        <f t="shared" si="151"/>
        <v>78.202185238308445</v>
      </c>
      <c r="BJ149">
        <f t="shared" si="136"/>
        <v>0</v>
      </c>
      <c r="BK149">
        <f t="shared" si="152"/>
        <v>0</v>
      </c>
      <c r="BM149">
        <f t="shared" si="153"/>
        <v>-21.319352556391319</v>
      </c>
      <c r="BN149">
        <f t="shared" si="137"/>
        <v>-104.6936962211969</v>
      </c>
      <c r="BQ149" s="66">
        <f t="shared" si="154"/>
        <v>36.769672841396272</v>
      </c>
      <c r="BR149" s="71"/>
      <c r="BS149" s="71"/>
      <c r="BT149" s="71">
        <v>2454.7089999999998</v>
      </c>
      <c r="BU149" s="71">
        <v>7.6423899999999998</v>
      </c>
      <c r="BV149" s="71">
        <v>-251.97399999999999</v>
      </c>
      <c r="BW149" s="75"/>
      <c r="BY149" s="71"/>
      <c r="BZ149" s="71"/>
      <c r="CA149" s="71"/>
      <c r="CC149" s="71"/>
    </row>
    <row r="150" spans="1:81" x14ac:dyDescent="0.2">
      <c r="A150">
        <f t="shared" si="106"/>
        <v>58000</v>
      </c>
      <c r="B150">
        <f t="shared" si="138"/>
        <v>58</v>
      </c>
      <c r="C150">
        <f t="shared" si="107"/>
        <v>3.7438291778185411</v>
      </c>
      <c r="D150">
        <f t="shared" si="108"/>
        <v>1.3004074507036893</v>
      </c>
      <c r="F150">
        <f t="shared" si="109"/>
        <v>1.5155975101642837E-3</v>
      </c>
      <c r="G150">
        <f t="shared" si="110"/>
        <v>1.6032557244386347E-2</v>
      </c>
      <c r="H150">
        <f t="shared" si="111"/>
        <v>-3.125560092755614</v>
      </c>
      <c r="J150">
        <f t="shared" si="112"/>
        <v>15</v>
      </c>
      <c r="M150">
        <f t="shared" si="113"/>
        <v>5.8163778585341636E-2</v>
      </c>
      <c r="N150">
        <f t="shared" si="114"/>
        <v>-1.5707963250000001</v>
      </c>
      <c r="O150">
        <f t="shared" si="115"/>
        <v>17.215339493865677</v>
      </c>
      <c r="P150">
        <f t="shared" si="116"/>
        <v>1.5126758801995317</v>
      </c>
      <c r="Q150">
        <f t="shared" si="117"/>
        <v>23.832501990277439</v>
      </c>
      <c r="R150">
        <f t="shared" si="118"/>
        <v>1.5288244991419826</v>
      </c>
      <c r="S150">
        <f t="shared" si="119"/>
        <v>0.41937467971050946</v>
      </c>
      <c r="T150">
        <f t="shared" si="120"/>
        <v>-1.1380399368203813</v>
      </c>
      <c r="U150">
        <f t="shared" si="121"/>
        <v>0.99997850263285426</v>
      </c>
      <c r="V150">
        <f t="shared" si="122"/>
        <v>-6.5570487521591832E-3</v>
      </c>
      <c r="X150">
        <f t="shared" si="139"/>
        <v>-1.3935624300226099</v>
      </c>
      <c r="Y150">
        <f t="shared" si="123"/>
        <v>-85.888984745024501</v>
      </c>
      <c r="Z150">
        <f t="shared" si="140"/>
        <v>94.111015254975499</v>
      </c>
      <c r="AC150">
        <v>1</v>
      </c>
      <c r="AD150">
        <f t="shared" si="124"/>
        <v>17.186271087384</v>
      </c>
      <c r="AE150">
        <f t="shared" si="125"/>
        <v>-6.2631024997678397E-6</v>
      </c>
      <c r="AF150">
        <f t="shared" si="126"/>
        <v>9.551572629354E-4</v>
      </c>
      <c r="AG150">
        <f t="shared" si="141"/>
        <v>17985.494098181833</v>
      </c>
      <c r="AH150">
        <f t="shared" si="142"/>
        <v>-1164.8814663529745</v>
      </c>
      <c r="AJ150">
        <f t="shared" si="127"/>
        <v>18000</v>
      </c>
      <c r="AK150">
        <f t="shared" si="128"/>
        <v>38964.293992008003</v>
      </c>
      <c r="AL150">
        <v>1</v>
      </c>
      <c r="AM150">
        <f t="shared" si="129"/>
        <v>23.811512995115997</v>
      </c>
      <c r="AN150">
        <f t="shared" si="143"/>
        <v>1665.173456307007</v>
      </c>
      <c r="AO150">
        <f t="shared" si="144"/>
        <v>-686.00540196851193</v>
      </c>
      <c r="AQ150">
        <f t="shared" si="130"/>
        <v>0.74310767630229624</v>
      </c>
      <c r="AR150">
        <f t="shared" si="131"/>
        <v>-86.200490451066358</v>
      </c>
      <c r="AT150">
        <f t="shared" ref="AT150:AT213" si="156">-AR150*AH150+AG150*AQ150</f>
        <v>-87048.194990535179</v>
      </c>
      <c r="AU150">
        <f t="shared" ref="AU150:AU213" si="157">AQ150*AH150+AG150*AR150</f>
        <v>-1551224.0446276627</v>
      </c>
      <c r="AV150">
        <f t="shared" si="145"/>
        <v>-1.6268533460302843</v>
      </c>
      <c r="AW150">
        <f t="shared" si="146"/>
        <v>-15978.683014301574</v>
      </c>
      <c r="AX150">
        <f t="shared" si="147"/>
        <v>-156806.14205336387</v>
      </c>
      <c r="AY150">
        <f t="shared" si="155"/>
        <v>-1.672346676955822</v>
      </c>
      <c r="BA150">
        <f t="shared" si="132"/>
        <v>9.8571415292116367</v>
      </c>
      <c r="BB150">
        <f t="shared" si="148"/>
        <v>19.875019844317162</v>
      </c>
      <c r="BC150">
        <f t="shared" si="149"/>
        <v>4.5493330925537645E-2</v>
      </c>
      <c r="BD150">
        <f t="shared" si="133"/>
        <v>-177.39342413899627</v>
      </c>
      <c r="BF150">
        <f t="shared" si="134"/>
        <v>-1.5251568182425896</v>
      </c>
      <c r="BG150">
        <f t="shared" si="135"/>
        <v>-101.96696761521568</v>
      </c>
      <c r="BH150">
        <f t="shared" si="150"/>
        <v>78.03303238478432</v>
      </c>
      <c r="BI150">
        <f t="shared" si="151"/>
        <v>78.03303238478432</v>
      </c>
      <c r="BJ150">
        <f t="shared" si="136"/>
        <v>0</v>
      </c>
      <c r="BK150">
        <f t="shared" si="152"/>
        <v>0</v>
      </c>
      <c r="BM150">
        <f t="shared" si="153"/>
        <v>-21.400176662559751</v>
      </c>
      <c r="BN150">
        <f t="shared" si="137"/>
        <v>-104.57354347621944</v>
      </c>
      <c r="BQ150" s="66">
        <f t="shared" si="154"/>
        <v>36.776980644602297</v>
      </c>
      <c r="BR150" s="71"/>
      <c r="BS150" s="71"/>
      <c r="BT150" s="71">
        <v>2511.886</v>
      </c>
      <c r="BU150" s="71">
        <v>7.45716</v>
      </c>
      <c r="BV150" s="71">
        <v>-252.25200000000001</v>
      </c>
      <c r="BW150" s="75"/>
      <c r="BY150" s="71"/>
      <c r="BZ150" s="71"/>
      <c r="CA150" s="71"/>
      <c r="CC150" s="71"/>
    </row>
    <row r="151" spans="1:81" x14ac:dyDescent="0.2">
      <c r="A151">
        <f t="shared" si="106"/>
        <v>58500</v>
      </c>
      <c r="B151">
        <f t="shared" si="138"/>
        <v>58.5</v>
      </c>
      <c r="C151">
        <f t="shared" si="107"/>
        <v>3.7738100714321994</v>
      </c>
      <c r="D151">
        <f t="shared" si="108"/>
        <v>1.3026088019999285</v>
      </c>
      <c r="F151">
        <f t="shared" si="109"/>
        <v>1.4897650833694456E-3</v>
      </c>
      <c r="G151">
        <f t="shared" si="110"/>
        <v>1.5895136516722048E-2</v>
      </c>
      <c r="H151">
        <f t="shared" si="111"/>
        <v>-3.1256975134832783</v>
      </c>
      <c r="J151">
        <f t="shared" si="112"/>
        <v>15</v>
      </c>
      <c r="M151">
        <f t="shared" si="113"/>
        <v>5.7666652272646411E-2</v>
      </c>
      <c r="N151">
        <f t="shared" si="114"/>
        <v>-1.5707963250000001</v>
      </c>
      <c r="O151">
        <f t="shared" si="115"/>
        <v>17.363248969478658</v>
      </c>
      <c r="P151">
        <f t="shared" si="116"/>
        <v>1.5131715324726225</v>
      </c>
      <c r="Q151">
        <f t="shared" si="117"/>
        <v>24.037594416879351</v>
      </c>
      <c r="R151">
        <f t="shared" si="118"/>
        <v>1.5291828169317492</v>
      </c>
      <c r="S151">
        <f t="shared" si="119"/>
        <v>0.41641402900793767</v>
      </c>
      <c r="T151">
        <f t="shared" si="120"/>
        <v>-1.1412987888704567</v>
      </c>
      <c r="U151">
        <f t="shared" si="121"/>
        <v>0.99997813040319949</v>
      </c>
      <c r="V151">
        <f t="shared" si="122"/>
        <v>-6.6135733932813426E-3</v>
      </c>
      <c r="X151">
        <f t="shared" si="139"/>
        <v>-1.4609664065208574</v>
      </c>
      <c r="Y151">
        <f t="shared" si="123"/>
        <v>-85.911758445732559</v>
      </c>
      <c r="Z151">
        <f t="shared" si="140"/>
        <v>94.088241554267441</v>
      </c>
      <c r="AC151">
        <v>1</v>
      </c>
      <c r="AD151">
        <f t="shared" si="124"/>
        <v>17.334428596758002</v>
      </c>
      <c r="AE151">
        <f t="shared" si="125"/>
        <v>-6.3715524761683945E-6</v>
      </c>
      <c r="AF151">
        <f t="shared" si="126"/>
        <v>9.6339137727105009E-4</v>
      </c>
      <c r="AG151">
        <f t="shared" si="141"/>
        <v>17985.480708427971</v>
      </c>
      <c r="AH151">
        <f t="shared" si="142"/>
        <v>-1156.9497718571254</v>
      </c>
      <c r="AJ151">
        <f t="shared" si="127"/>
        <v>18000</v>
      </c>
      <c r="AK151">
        <f t="shared" si="128"/>
        <v>39300.193078146003</v>
      </c>
      <c r="AL151">
        <v>1</v>
      </c>
      <c r="AM151">
        <f t="shared" si="129"/>
        <v>24.016784658867</v>
      </c>
      <c r="AN151">
        <f t="shared" si="143"/>
        <v>1664.6839340263982</v>
      </c>
      <c r="AO151">
        <f t="shared" si="144"/>
        <v>-680.16249044155882</v>
      </c>
      <c r="AQ151">
        <f t="shared" si="130"/>
        <v>0.73046018991964934</v>
      </c>
      <c r="AR151">
        <f t="shared" si="131"/>
        <v>-85.463842220598977</v>
      </c>
      <c r="AT151">
        <f t="shared" si="156"/>
        <v>-85739.695105080857</v>
      </c>
      <c r="AU151">
        <f t="shared" si="157"/>
        <v>-1537953.3912767931</v>
      </c>
      <c r="AV151">
        <f t="shared" si="145"/>
        <v>-1.6264878940778404</v>
      </c>
      <c r="AW151">
        <f t="shared" si="146"/>
        <v>-14993.323645455072</v>
      </c>
      <c r="AX151">
        <f t="shared" si="147"/>
        <v>-155420.13560302075</v>
      </c>
      <c r="AY151">
        <f t="shared" si="155"/>
        <v>-1.6669683597410534</v>
      </c>
      <c r="BA151">
        <f t="shared" si="132"/>
        <v>9.8650256921978858</v>
      </c>
      <c r="BB151">
        <f t="shared" si="148"/>
        <v>19.881964413082475</v>
      </c>
      <c r="BC151">
        <f t="shared" si="149"/>
        <v>4.048046566321295E-2</v>
      </c>
      <c r="BD151">
        <f t="shared" si="133"/>
        <v>-177.68064016212338</v>
      </c>
      <c r="BF151">
        <f t="shared" si="134"/>
        <v>-1.5982537981779557</v>
      </c>
      <c r="BG151">
        <f t="shared" si="135"/>
        <v>-102.13592912742033</v>
      </c>
      <c r="BH151">
        <f t="shared" si="150"/>
        <v>77.864070872579674</v>
      </c>
      <c r="BI151">
        <f t="shared" si="151"/>
        <v>77.864070872579674</v>
      </c>
      <c r="BJ151">
        <f t="shared" si="136"/>
        <v>0</v>
      </c>
      <c r="BK151">
        <f t="shared" si="152"/>
        <v>0</v>
      </c>
      <c r="BM151">
        <f t="shared" si="153"/>
        <v>-21.480218211260436</v>
      </c>
      <c r="BN151">
        <f t="shared" si="137"/>
        <v>-104.45528896529693</v>
      </c>
      <c r="BQ151" s="66">
        <f t="shared" si="154"/>
        <v>36.783925213367617</v>
      </c>
      <c r="BR151" s="71"/>
      <c r="BS151" s="71"/>
      <c r="BT151" s="71">
        <v>2570.3960000000002</v>
      </c>
      <c r="BU151" s="71">
        <v>7.31271</v>
      </c>
      <c r="BV151" s="71">
        <v>-251.702</v>
      </c>
      <c r="BW151" s="75"/>
      <c r="BY151" s="71"/>
      <c r="BZ151" s="71"/>
      <c r="CA151" s="71"/>
      <c r="CC151" s="71"/>
    </row>
    <row r="152" spans="1:81" x14ac:dyDescent="0.2">
      <c r="A152">
        <f t="shared" si="106"/>
        <v>59000</v>
      </c>
      <c r="B152">
        <f t="shared" si="138"/>
        <v>59</v>
      </c>
      <c r="C152">
        <f t="shared" si="107"/>
        <v>3.8038089644001616</v>
      </c>
      <c r="D152">
        <f t="shared" si="108"/>
        <v>1.30477544156631</v>
      </c>
      <c r="F152">
        <f t="shared" si="109"/>
        <v>1.4645878106922089E-3</v>
      </c>
      <c r="G152">
        <f t="shared" si="110"/>
        <v>1.5760054768762247E-2</v>
      </c>
      <c r="H152">
        <f t="shared" si="111"/>
        <v>-3.125832595231238</v>
      </c>
      <c r="J152">
        <f t="shared" si="112"/>
        <v>15</v>
      </c>
      <c r="M152">
        <f t="shared" si="113"/>
        <v>5.7177951829657889E-2</v>
      </c>
      <c r="N152">
        <f t="shared" si="114"/>
        <v>-1.5707963250000001</v>
      </c>
      <c r="O152">
        <f t="shared" si="115"/>
        <v>17.511162638680496</v>
      </c>
      <c r="P152">
        <f t="shared" si="116"/>
        <v>1.5136588114909564</v>
      </c>
      <c r="Q152">
        <f t="shared" si="117"/>
        <v>24.242689877488402</v>
      </c>
      <c r="R152">
        <f t="shared" si="118"/>
        <v>1.5295350719609884</v>
      </c>
      <c r="S152">
        <f t="shared" si="119"/>
        <v>0.41349058837853414</v>
      </c>
      <c r="T152">
        <f t="shared" si="120"/>
        <v>-1.1445119170118467</v>
      </c>
      <c r="U152">
        <f t="shared" si="121"/>
        <v>0.99997775497886154</v>
      </c>
      <c r="V152">
        <f t="shared" si="122"/>
        <v>-6.6700979921417184E-3</v>
      </c>
      <c r="X152">
        <f t="shared" si="139"/>
        <v>-1.5278855646019827</v>
      </c>
      <c r="Y152">
        <f t="shared" si="123"/>
        <v>-85.934594301732574</v>
      </c>
      <c r="Z152">
        <f t="shared" si="140"/>
        <v>94.065405698267426</v>
      </c>
      <c r="AC152">
        <v>1</v>
      </c>
      <c r="AD152">
        <f t="shared" si="124"/>
        <v>17.482586106132004</v>
      </c>
      <c r="AE152">
        <f t="shared" si="125"/>
        <v>-6.4809333536539368E-6</v>
      </c>
      <c r="AF152">
        <f t="shared" si="126"/>
        <v>9.7162549160670017E-4</v>
      </c>
      <c r="AG152">
        <f t="shared" si="141"/>
        <v>17985.467203760792</v>
      </c>
      <c r="AH152">
        <f t="shared" si="142"/>
        <v>-1149.1697407357346</v>
      </c>
      <c r="AJ152">
        <f t="shared" si="127"/>
        <v>18000</v>
      </c>
      <c r="AK152">
        <f t="shared" si="128"/>
        <v>39636.092164283997</v>
      </c>
      <c r="AL152">
        <v>1</v>
      </c>
      <c r="AM152">
        <f t="shared" si="129"/>
        <v>24.222056322617998</v>
      </c>
      <c r="AN152">
        <f t="shared" si="143"/>
        <v>1664.2067761808692</v>
      </c>
      <c r="AO152">
        <f t="shared" si="144"/>
        <v>-674.4181008515427</v>
      </c>
      <c r="AQ152">
        <f t="shared" si="130"/>
        <v>0.71813285457809695</v>
      </c>
      <c r="AR152">
        <f t="shared" si="131"/>
        <v>-84.739676840215438</v>
      </c>
      <c r="AT152">
        <f t="shared" si="156"/>
        <v>-84464.317560542841</v>
      </c>
      <c r="AU152">
        <f t="shared" si="157"/>
        <v>-1524907.935213292</v>
      </c>
      <c r="AV152">
        <f t="shared" si="145"/>
        <v>-1.6261295666880078</v>
      </c>
      <c r="AW152">
        <f t="shared" si="146"/>
        <v>-14032.838134809102</v>
      </c>
      <c r="AX152">
        <f t="shared" si="147"/>
        <v>-154058.91986195199</v>
      </c>
      <c r="AY152">
        <f t="shared" si="155"/>
        <v>-1.6616331338686134</v>
      </c>
      <c r="BA152">
        <f t="shared" si="132"/>
        <v>9.8725137575932074</v>
      </c>
      <c r="BB152">
        <f t="shared" si="148"/>
        <v>19.888554952183085</v>
      </c>
      <c r="BC152">
        <f t="shared" si="149"/>
        <v>3.5503567180605655E-2</v>
      </c>
      <c r="BD152">
        <f t="shared" si="133"/>
        <v>-177.96579544056769</v>
      </c>
      <c r="BF152">
        <f t="shared" si="134"/>
        <v>-1.6709376084379883</v>
      </c>
      <c r="BG152">
        <f t="shared" si="135"/>
        <v>-102.30468471689925</v>
      </c>
      <c r="BH152">
        <f t="shared" si="150"/>
        <v>77.695315283100754</v>
      </c>
      <c r="BI152">
        <f t="shared" si="151"/>
        <v>77.695315283100754</v>
      </c>
      <c r="BJ152">
        <f t="shared" si="136"/>
        <v>0</v>
      </c>
      <c r="BK152">
        <f t="shared" si="152"/>
        <v>0</v>
      </c>
      <c r="BM152">
        <f t="shared" si="153"/>
        <v>-21.559492560621077</v>
      </c>
      <c r="BN152">
        <f t="shared" si="137"/>
        <v>-104.33888927633156</v>
      </c>
      <c r="BQ152" s="66">
        <f t="shared" si="154"/>
        <v>36.790515752468224</v>
      </c>
      <c r="BR152" s="71"/>
      <c r="BS152" s="71"/>
      <c r="BT152" s="71">
        <v>2630.268</v>
      </c>
      <c r="BU152" s="71">
        <v>7.13504</v>
      </c>
      <c r="BV152" s="71">
        <v>-251.40100000000001</v>
      </c>
      <c r="BW152" s="75"/>
      <c r="BY152" s="71"/>
      <c r="BZ152" s="71"/>
      <c r="CA152" s="71"/>
      <c r="CC152" s="71"/>
    </row>
    <row r="153" spans="1:81" x14ac:dyDescent="0.2">
      <c r="A153">
        <f t="shared" si="106"/>
        <v>59500</v>
      </c>
      <c r="B153">
        <f t="shared" si="138"/>
        <v>59.5</v>
      </c>
      <c r="C153">
        <f t="shared" si="107"/>
        <v>3.8338254341987508</v>
      </c>
      <c r="D153">
        <f t="shared" si="108"/>
        <v>1.3069081641324234</v>
      </c>
      <c r="F153">
        <f t="shared" si="109"/>
        <v>1.4400437139365015E-3</v>
      </c>
      <c r="G153">
        <f t="shared" si="110"/>
        <v>1.5627252708167377E-2</v>
      </c>
      <c r="H153">
        <f t="shared" si="111"/>
        <v>-3.1259653972918326</v>
      </c>
      <c r="J153">
        <f t="shared" si="112"/>
        <v>15</v>
      </c>
      <c r="M153">
        <f t="shared" si="113"/>
        <v>5.6697464839492687E-2</v>
      </c>
      <c r="N153">
        <f t="shared" si="114"/>
        <v>-1.5707963250000001</v>
      </c>
      <c r="O153">
        <f t="shared" si="115"/>
        <v>17.659080396093838</v>
      </c>
      <c r="P153">
        <f t="shared" si="116"/>
        <v>1.5141379274308602</v>
      </c>
      <c r="Q153">
        <f t="shared" si="117"/>
        <v>24.447788295746637</v>
      </c>
      <c r="R153">
        <f t="shared" si="118"/>
        <v>1.5298814167270631</v>
      </c>
      <c r="S153">
        <f t="shared" si="119"/>
        <v>0.41060375881348676</v>
      </c>
      <c r="T153">
        <f t="shared" si="120"/>
        <v>-1.1476802118760654</v>
      </c>
      <c r="U153">
        <f t="shared" si="121"/>
        <v>0.99997737635985107</v>
      </c>
      <c r="V153">
        <f t="shared" si="122"/>
        <v>-6.7266225483791657E-3</v>
      </c>
      <c r="X153">
        <f t="shared" si="139"/>
        <v>-1.5943267076804024</v>
      </c>
      <c r="Y153">
        <f t="shared" si="123"/>
        <v>-85.957480425308304</v>
      </c>
      <c r="Z153">
        <f t="shared" si="140"/>
        <v>94.042519574691696</v>
      </c>
      <c r="AC153">
        <v>1</v>
      </c>
      <c r="AD153">
        <f t="shared" si="124"/>
        <v>17.630743615506002</v>
      </c>
      <c r="AE153">
        <f t="shared" si="125"/>
        <v>-6.5912451322244607E-6</v>
      </c>
      <c r="AF153">
        <f t="shared" si="126"/>
        <v>9.7985960594234992E-4</v>
      </c>
      <c r="AG153">
        <f t="shared" si="141"/>
        <v>17985.45358418081</v>
      </c>
      <c r="AH153">
        <f t="shared" si="142"/>
        <v>-1141.5375494654186</v>
      </c>
      <c r="AJ153">
        <f t="shared" si="127"/>
        <v>18000</v>
      </c>
      <c r="AK153">
        <f t="shared" si="128"/>
        <v>39971.991250421997</v>
      </c>
      <c r="AL153">
        <v>1</v>
      </c>
      <c r="AM153">
        <f t="shared" si="129"/>
        <v>24.427327986368997</v>
      </c>
      <c r="AN153">
        <f t="shared" si="143"/>
        <v>1663.7415700746089</v>
      </c>
      <c r="AO153">
        <f t="shared" si="144"/>
        <v>-668.7697663469944</v>
      </c>
      <c r="AQ153">
        <f t="shared" si="130"/>
        <v>0.70611495551475778</v>
      </c>
      <c r="AR153">
        <f t="shared" si="131"/>
        <v>-84.02767970625618</v>
      </c>
      <c r="AT153">
        <f t="shared" si="156"/>
        <v>-83220.953821638192</v>
      </c>
      <c r="AU153">
        <f t="shared" si="157"/>
        <v>-1512081.9898792414</v>
      </c>
      <c r="AV153">
        <f t="shared" si="145"/>
        <v>-1.6257781851596653</v>
      </c>
      <c r="AW153">
        <f t="shared" si="146"/>
        <v>-13096.396901740256</v>
      </c>
      <c r="AX153">
        <f t="shared" si="147"/>
        <v>-152721.82814479916</v>
      </c>
      <c r="AY153">
        <f t="shared" si="155"/>
        <v>-1.656340325100877</v>
      </c>
      <c r="BA153">
        <f t="shared" si="132"/>
        <v>9.879614936547247</v>
      </c>
      <c r="BB153">
        <f t="shared" si="148"/>
        <v>19.894800361000275</v>
      </c>
      <c r="BC153">
        <f t="shared" si="149"/>
        <v>3.0562139941211708E-2</v>
      </c>
      <c r="BD153">
        <f t="shared" si="133"/>
        <v>-178.24891836647947</v>
      </c>
      <c r="BF153">
        <f t="shared" si="134"/>
        <v>-1.7432142585812851</v>
      </c>
      <c r="BG153">
        <f t="shared" si="135"/>
        <v>-102.47322063835217</v>
      </c>
      <c r="BH153">
        <f t="shared" si="150"/>
        <v>77.526779361647826</v>
      </c>
      <c r="BI153">
        <f t="shared" si="151"/>
        <v>77.526779361647826</v>
      </c>
      <c r="BJ153">
        <f t="shared" si="136"/>
        <v>0</v>
      </c>
      <c r="BK153">
        <f t="shared" si="152"/>
        <v>0</v>
      </c>
      <c r="BM153">
        <f t="shared" si="153"/>
        <v>-21.638014619581561</v>
      </c>
      <c r="BN153">
        <f t="shared" si="137"/>
        <v>-104.22430227187272</v>
      </c>
      <c r="BQ153" s="66">
        <f t="shared" si="154"/>
        <v>36.79676116128541</v>
      </c>
      <c r="BR153" s="71"/>
      <c r="BS153" s="71"/>
      <c r="BT153" s="71">
        <v>2691.5349999999999</v>
      </c>
      <c r="BU153" s="71">
        <v>6.8809300000000002</v>
      </c>
      <c r="BV153" s="71">
        <v>-251.244</v>
      </c>
      <c r="BW153" s="75"/>
      <c r="BY153" s="71"/>
      <c r="BZ153" s="71"/>
      <c r="CA153" s="71"/>
      <c r="CC153" s="71"/>
    </row>
    <row r="154" spans="1:81" x14ac:dyDescent="0.2">
      <c r="A154">
        <f t="shared" si="106"/>
        <v>60000</v>
      </c>
      <c r="B154">
        <f t="shared" si="138"/>
        <v>60</v>
      </c>
      <c r="C154">
        <f t="shared" si="107"/>
        <v>3.863859071190062</v>
      </c>
      <c r="D154">
        <f t="shared" si="108"/>
        <v>1.3090077409742333</v>
      </c>
      <c r="F154">
        <f t="shared" si="109"/>
        <v>1.4161117292460024E-3</v>
      </c>
      <c r="G154">
        <f t="shared" si="110"/>
        <v>1.5496673032476538E-2</v>
      </c>
      <c r="H154">
        <f t="shared" si="111"/>
        <v>-3.1260959769675236</v>
      </c>
      <c r="J154">
        <f t="shared" si="112"/>
        <v>15</v>
      </c>
      <c r="M154">
        <f t="shared" si="113"/>
        <v>5.6224985965830254E-2</v>
      </c>
      <c r="N154">
        <f t="shared" si="114"/>
        <v>-1.5707963250000001</v>
      </c>
      <c r="O154">
        <f t="shared" si="115"/>
        <v>17.807002139839803</v>
      </c>
      <c r="P154">
        <f t="shared" si="116"/>
        <v>1.5146090835002521</v>
      </c>
      <c r="Q154">
        <f t="shared" si="117"/>
        <v>24.65288959783603</v>
      </c>
      <c r="R154">
        <f t="shared" si="118"/>
        <v>1.5302219986582715</v>
      </c>
      <c r="S154">
        <f t="shared" si="119"/>
        <v>0.4077529509066864</v>
      </c>
      <c r="T154">
        <f t="shared" si="120"/>
        <v>-1.1508045430143572</v>
      </c>
      <c r="U154">
        <f t="shared" si="121"/>
        <v>0.99997699454617917</v>
      </c>
      <c r="V154">
        <f t="shared" si="122"/>
        <v>-6.7831470616325365E-3</v>
      </c>
      <c r="X154">
        <f t="shared" si="139"/>
        <v>-1.6602964875670603</v>
      </c>
      <c r="Y154">
        <f t="shared" si="123"/>
        <v>-85.980405640411774</v>
      </c>
      <c r="Z154">
        <f t="shared" si="140"/>
        <v>94.019594359588226</v>
      </c>
      <c r="AC154">
        <v>1</v>
      </c>
      <c r="AD154">
        <f t="shared" si="124"/>
        <v>17.778901124880001</v>
      </c>
      <c r="AE154">
        <f t="shared" si="125"/>
        <v>-6.7024878118799687E-6</v>
      </c>
      <c r="AF154">
        <f t="shared" si="126"/>
        <v>9.88093720278E-4</v>
      </c>
      <c r="AG154">
        <f t="shared" si="141"/>
        <v>17985.439849688559</v>
      </c>
      <c r="AH154">
        <f t="shared" si="142"/>
        <v>-1134.0495019729221</v>
      </c>
      <c r="AJ154">
        <f t="shared" si="127"/>
        <v>18000</v>
      </c>
      <c r="AK154">
        <f t="shared" si="128"/>
        <v>40307.890336559998</v>
      </c>
      <c r="AL154">
        <v>1</v>
      </c>
      <c r="AM154">
        <f t="shared" si="129"/>
        <v>24.63259965012</v>
      </c>
      <c r="AN154">
        <f t="shared" si="143"/>
        <v>1663.2879200783982</v>
      </c>
      <c r="AO154">
        <f t="shared" si="144"/>
        <v>-663.21510161198171</v>
      </c>
      <c r="AQ154">
        <f t="shared" si="130"/>
        <v>0.69439622248454969</v>
      </c>
      <c r="AR154">
        <f t="shared" si="131"/>
        <v>-83.327546698145966</v>
      </c>
      <c r="AT154">
        <f t="shared" si="156"/>
        <v>-82008.541342311029</v>
      </c>
      <c r="AU154">
        <f t="shared" si="157"/>
        <v>-1499470.0586518992</v>
      </c>
      <c r="AV154">
        <f t="shared" si="145"/>
        <v>-1.6254335767110377</v>
      </c>
      <c r="AW154">
        <f t="shared" si="146"/>
        <v>-12183.204640475838</v>
      </c>
      <c r="AX154">
        <f t="shared" si="147"/>
        <v>-151408.21769925518</v>
      </c>
      <c r="AY154">
        <f t="shared" si="155"/>
        <v>-1.6510892727966386</v>
      </c>
      <c r="BA154">
        <f t="shared" si="132"/>
        <v>9.8863381816966811</v>
      </c>
      <c r="BB154">
        <f t="shared" si="148"/>
        <v>19.90070924556359</v>
      </c>
      <c r="BC154">
        <f t="shared" si="149"/>
        <v>2.5655696085600921E-2</v>
      </c>
      <c r="BD154">
        <f t="shared" si="133"/>
        <v>-178.53003689214509</v>
      </c>
      <c r="BF154">
        <f t="shared" si="134"/>
        <v>-1.8150896195261523</v>
      </c>
      <c r="BG154">
        <f t="shared" si="135"/>
        <v>-102.64152393639705</v>
      </c>
      <c r="BH154">
        <f t="shared" si="150"/>
        <v>77.35847606360295</v>
      </c>
      <c r="BI154">
        <f t="shared" si="151"/>
        <v>77.35847606360295</v>
      </c>
      <c r="BJ154">
        <f t="shared" si="136"/>
        <v>0</v>
      </c>
      <c r="BK154">
        <f t="shared" si="152"/>
        <v>0</v>
      </c>
      <c r="BM154">
        <f t="shared" si="153"/>
        <v>-21.715798865089738</v>
      </c>
      <c r="BN154">
        <f t="shared" si="137"/>
        <v>-104.11148704425197</v>
      </c>
      <c r="BQ154" s="66">
        <f t="shared" si="154"/>
        <v>36.802670045848721</v>
      </c>
      <c r="BR154" s="71"/>
      <c r="BS154" s="71"/>
      <c r="BT154" s="71">
        <v>2754.2289999999998</v>
      </c>
      <c r="BU154" s="71">
        <v>6.7009400000000001</v>
      </c>
      <c r="BV154" s="71">
        <v>-251.05099999999999</v>
      </c>
      <c r="BW154" s="75"/>
      <c r="BY154" s="71"/>
      <c r="BZ154" s="71"/>
      <c r="CA154" s="71"/>
      <c r="CC154" s="71"/>
    </row>
    <row r="155" spans="1:81" x14ac:dyDescent="0.2">
      <c r="A155">
        <f t="shared" si="106"/>
        <v>60500</v>
      </c>
      <c r="B155">
        <f t="shared" si="138"/>
        <v>60.5</v>
      </c>
      <c r="C155">
        <f t="shared" si="107"/>
        <v>3.8939094781435917</v>
      </c>
      <c r="D155">
        <f t="shared" si="108"/>
        <v>1.3110749207485111</v>
      </c>
      <c r="F155">
        <f t="shared" si="109"/>
        <v>1.3927716618158073E-3</v>
      </c>
      <c r="G155">
        <f t="shared" si="110"/>
        <v>1.5368260346219603E-2</v>
      </c>
      <c r="H155">
        <f t="shared" si="111"/>
        <v>-3.1262243896537805</v>
      </c>
      <c r="J155">
        <f t="shared" si="112"/>
        <v>15</v>
      </c>
      <c r="M155">
        <f t="shared" si="113"/>
        <v>5.5760316660327526E-2</v>
      </c>
      <c r="N155">
        <f t="shared" si="114"/>
        <v>-1.5707963250000001</v>
      </c>
      <c r="O155">
        <f t="shared" si="115"/>
        <v>17.954927771394154</v>
      </c>
      <c r="P155">
        <f t="shared" si="116"/>
        <v>1.5150724762247663</v>
      </c>
      <c r="Q155">
        <f t="shared" si="117"/>
        <v>24.857993712373812</v>
      </c>
      <c r="R155">
        <f t="shared" si="118"/>
        <v>1.5305569603226203</v>
      </c>
      <c r="S155">
        <f t="shared" si="119"/>
        <v>0.40493758480827691</v>
      </c>
      <c r="T155">
        <f t="shared" si="120"/>
        <v>-1.1538857594467675</v>
      </c>
      <c r="U155">
        <f t="shared" si="121"/>
        <v>0.99997660953785661</v>
      </c>
      <c r="V155">
        <f t="shared" si="122"/>
        <v>-6.8396715315406868E-3</v>
      </c>
      <c r="X155">
        <f t="shared" si="139"/>
        <v>-1.7258014096461256</v>
      </c>
      <c r="Y155">
        <f t="shared" si="123"/>
        <v>-86.003359442706341</v>
      </c>
      <c r="Z155">
        <f t="shared" si="140"/>
        <v>93.996640557293659</v>
      </c>
      <c r="AC155">
        <v>1</v>
      </c>
      <c r="AD155">
        <f t="shared" si="124"/>
        <v>17.927058634254003</v>
      </c>
      <c r="AE155">
        <f t="shared" si="125"/>
        <v>-6.8146613926204608E-6</v>
      </c>
      <c r="AF155">
        <f t="shared" si="126"/>
        <v>9.9632783461365009E-4</v>
      </c>
      <c r="AG155">
        <f t="shared" si="141"/>
        <v>17985.426000284551</v>
      </c>
      <c r="AH155">
        <f t="shared" si="142"/>
        <v>-1126.7020243685879</v>
      </c>
      <c r="AJ155">
        <f t="shared" si="127"/>
        <v>18000</v>
      </c>
      <c r="AK155">
        <f t="shared" si="128"/>
        <v>40643.789422697999</v>
      </c>
      <c r="AL155">
        <v>1</v>
      </c>
      <c r="AM155">
        <f t="shared" si="129"/>
        <v>24.837871313871002</v>
      </c>
      <c r="AN155">
        <f t="shared" si="143"/>
        <v>1662.8454467900933</v>
      </c>
      <c r="AO155">
        <f t="shared" si="144"/>
        <v>-657.75179953067186</v>
      </c>
      <c r="AQ155">
        <f t="shared" si="130"/>
        <v>0.68296680781314023</v>
      </c>
      <c r="AR155">
        <f t="shared" si="131"/>
        <v>-82.638983745389979</v>
      </c>
      <c r="AT155">
        <f t="shared" si="156"/>
        <v>-80826.061295119915</v>
      </c>
      <c r="AU155">
        <f t="shared" si="157"/>
        <v>-1487066.8269763689</v>
      </c>
      <c r="AV155">
        <f t="shared" si="145"/>
        <v>-1.6250955742369164</v>
      </c>
      <c r="AW155">
        <f t="shared" si="146"/>
        <v>-11292.498635883607</v>
      </c>
      <c r="AX155">
        <f t="shared" si="147"/>
        <v>-150117.46863367903</v>
      </c>
      <c r="AY155">
        <f t="shared" si="155"/>
        <v>-1.6458793296763694</v>
      </c>
      <c r="BA155">
        <f t="shared" si="132"/>
        <v>9.8926921954478377</v>
      </c>
      <c r="BB155">
        <f t="shared" si="148"/>
        <v>19.906289930061007</v>
      </c>
      <c r="BC155">
        <f t="shared" si="149"/>
        <v>2.0783755439452989E-2</v>
      </c>
      <c r="BD155">
        <f t="shared" si="133"/>
        <v>-178.80917852952658</v>
      </c>
      <c r="BF155">
        <f t="shared" si="134"/>
        <v>-1.8865694284333647</v>
      </c>
      <c r="BG155">
        <f t="shared" si="135"/>
        <v>-102.80958240204913</v>
      </c>
      <c r="BH155">
        <f t="shared" si="150"/>
        <v>77.190417597950869</v>
      </c>
      <c r="BI155">
        <f t="shared" si="151"/>
        <v>77.190417597950869</v>
      </c>
      <c r="BJ155">
        <f t="shared" si="136"/>
        <v>0</v>
      </c>
      <c r="BK155">
        <f t="shared" si="152"/>
        <v>0</v>
      </c>
      <c r="BM155">
        <f t="shared" si="153"/>
        <v>-21.792859358494372</v>
      </c>
      <c r="BN155">
        <f t="shared" si="137"/>
        <v>-104.00040387252258</v>
      </c>
      <c r="BQ155" s="66">
        <f t="shared" si="154"/>
        <v>36.808250730346145</v>
      </c>
      <c r="BR155" s="71"/>
      <c r="BS155" s="71"/>
      <c r="BT155" s="71">
        <v>2818.3829999999998</v>
      </c>
      <c r="BU155" s="71">
        <v>6.5356199999999998</v>
      </c>
      <c r="BV155" s="71">
        <v>-250.48</v>
      </c>
      <c r="BW155" s="75"/>
      <c r="BY155" s="71"/>
      <c r="BZ155" s="71"/>
      <c r="CA155" s="71"/>
      <c r="CC155" s="71"/>
    </row>
    <row r="156" spans="1:81" x14ac:dyDescent="0.2">
      <c r="A156">
        <f t="shared" si="106"/>
        <v>61000</v>
      </c>
      <c r="B156">
        <f t="shared" si="138"/>
        <v>61</v>
      </c>
      <c r="C156">
        <f t="shared" si="107"/>
        <v>3.923976269778596</v>
      </c>
      <c r="D156">
        <f t="shared" si="108"/>
        <v>1.3131104302930439</v>
      </c>
      <c r="F156">
        <f t="shared" si="109"/>
        <v>1.3700041432007756E-3</v>
      </c>
      <c r="G156">
        <f t="shared" si="110"/>
        <v>1.5241961082143441E-2</v>
      </c>
      <c r="H156">
        <f t="shared" si="111"/>
        <v>-3.1263506889178569</v>
      </c>
      <c r="J156">
        <f t="shared" si="112"/>
        <v>15</v>
      </c>
      <c r="M156">
        <f t="shared" si="113"/>
        <v>5.5303264884423199E-2</v>
      </c>
      <c r="N156">
        <f t="shared" si="114"/>
        <v>-1.5707963250000001</v>
      </c>
      <c r="O156">
        <f t="shared" si="115"/>
        <v>18.102857195450397</v>
      </c>
      <c r="P156">
        <f t="shared" si="116"/>
        <v>1.515528295719907</v>
      </c>
      <c r="Q156">
        <f t="shared" si="117"/>
        <v>25.063100570312887</v>
      </c>
      <c r="R156">
        <f t="shared" si="118"/>
        <v>1.5308864396263688</v>
      </c>
      <c r="S156">
        <f t="shared" si="119"/>
        <v>0.40215709016813894</v>
      </c>
      <c r="T156">
        <f t="shared" si="120"/>
        <v>-1.1569246901974444</v>
      </c>
      <c r="U156">
        <f t="shared" si="121"/>
        <v>0.99997622133489439</v>
      </c>
      <c r="V156">
        <f t="shared" si="122"/>
        <v>-6.8961959577424721E-3</v>
      </c>
      <c r="X156">
        <f t="shared" si="139"/>
        <v>-1.7908478377966373</v>
      </c>
      <c r="Y156">
        <f t="shared" si="123"/>
        <v>-86.026331961933508</v>
      </c>
      <c r="Z156">
        <f t="shared" si="140"/>
        <v>93.973668038066492</v>
      </c>
      <c r="AC156">
        <v>1</v>
      </c>
      <c r="AD156">
        <f t="shared" si="124"/>
        <v>18.075216143628001</v>
      </c>
      <c r="AE156">
        <f t="shared" si="125"/>
        <v>-6.9277658744459345E-6</v>
      </c>
      <c r="AF156">
        <f t="shared" si="126"/>
        <v>1.0045619489493002E-3</v>
      </c>
      <c r="AG156">
        <f t="shared" si="141"/>
        <v>17985.41203596933</v>
      </c>
      <c r="AH156">
        <f t="shared" si="142"/>
        <v>-1119.4916599388293</v>
      </c>
      <c r="AJ156">
        <f t="shared" si="127"/>
        <v>18000</v>
      </c>
      <c r="AK156">
        <f t="shared" si="128"/>
        <v>40979.688508836</v>
      </c>
      <c r="AL156">
        <v>1</v>
      </c>
      <c r="AM156">
        <f t="shared" si="129"/>
        <v>25.043142977622001</v>
      </c>
      <c r="AN156">
        <f t="shared" si="143"/>
        <v>1662.4137862428654</v>
      </c>
      <c r="AO156">
        <f t="shared" si="144"/>
        <v>-652.37762801402528</v>
      </c>
      <c r="AQ156">
        <f t="shared" si="130"/>
        <v>0.67181726570372857</v>
      </c>
      <c r="AR156">
        <f t="shared" si="131"/>
        <v>-81.961706415854891</v>
      </c>
      <c r="AT156">
        <f t="shared" si="156"/>
        <v>-79672.536430344553</v>
      </c>
      <c r="AU156">
        <f t="shared" si="157"/>
        <v>-1474867.1548862595</v>
      </c>
      <c r="AV156">
        <f t="shared" si="145"/>
        <v>-1.6247640160777161</v>
      </c>
      <c r="AW156">
        <f t="shared" si="146"/>
        <v>-10423.547174963309</v>
      </c>
      <c r="AX156">
        <f t="shared" si="147"/>
        <v>-148848.98290215613</v>
      </c>
      <c r="AY156">
        <f t="shared" si="155"/>
        <v>-1.6407098615857003</v>
      </c>
      <c r="BA156">
        <f t="shared" si="132"/>
        <v>9.8986854379906823</v>
      </c>
      <c r="BB156">
        <f t="shared" si="148"/>
        <v>19.911550467842325</v>
      </c>
      <c r="BC156">
        <f t="shared" si="149"/>
        <v>1.5945845507984169E-2</v>
      </c>
      <c r="BD156">
        <f t="shared" si="133"/>
        <v>-179.08637035058089</v>
      </c>
      <c r="BF156">
        <f t="shared" si="134"/>
        <v>-1.9576592933366366</v>
      </c>
      <c r="BG156">
        <f t="shared" si="135"/>
        <v>-102.97738453170533</v>
      </c>
      <c r="BH156">
        <f t="shared" si="150"/>
        <v>77.022615468294674</v>
      </c>
      <c r="BI156">
        <f t="shared" si="151"/>
        <v>77.022615468294674</v>
      </c>
      <c r="BJ156">
        <f t="shared" si="136"/>
        <v>0</v>
      </c>
      <c r="BK156">
        <f t="shared" si="152"/>
        <v>0</v>
      </c>
      <c r="BM156">
        <f t="shared" si="153"/>
        <v>-21.869209761178961</v>
      </c>
      <c r="BN156">
        <f t="shared" si="137"/>
        <v>-103.89101418112445</v>
      </c>
      <c r="BQ156" s="66">
        <f t="shared" si="154"/>
        <v>36.813511268127463</v>
      </c>
      <c r="BR156" s="71"/>
      <c r="BS156" s="71"/>
      <c r="BT156" s="71">
        <v>2884.0320000000002</v>
      </c>
      <c r="BU156" s="71">
        <v>6.3265200000000004</v>
      </c>
      <c r="BV156" s="71">
        <v>-250.202</v>
      </c>
      <c r="BW156" s="75"/>
      <c r="BY156" s="71"/>
      <c r="BZ156" s="71"/>
      <c r="CA156" s="71"/>
      <c r="CC156" s="71"/>
    </row>
    <row r="157" spans="1:81" x14ac:dyDescent="0.2">
      <c r="A157">
        <f t="shared" si="106"/>
        <v>61500</v>
      </c>
      <c r="B157">
        <f t="shared" si="138"/>
        <v>61.5</v>
      </c>
      <c r="C157">
        <f t="shared" si="107"/>
        <v>3.9540590723261677</v>
      </c>
      <c r="D157">
        <f t="shared" si="108"/>
        <v>1.3151149753941842</v>
      </c>
      <c r="F157">
        <f t="shared" si="109"/>
        <v>1.3477905910517158E-3</v>
      </c>
      <c r="G157">
        <f t="shared" si="110"/>
        <v>1.5117723426315609E-2</v>
      </c>
      <c r="H157">
        <f t="shared" si="111"/>
        <v>-3.1264749265736844</v>
      </c>
      <c r="J157">
        <f t="shared" si="112"/>
        <v>15</v>
      </c>
      <c r="M157">
        <f t="shared" si="113"/>
        <v>5.4853644844712446E-2</v>
      </c>
      <c r="N157">
        <f t="shared" si="114"/>
        <v>-1.5707963250000001</v>
      </c>
      <c r="O157">
        <f t="shared" si="115"/>
        <v>18.250790319789647</v>
      </c>
      <c r="P157">
        <f t="shared" si="116"/>
        <v>1.5159767259500245</v>
      </c>
      <c r="Q157">
        <f t="shared" si="117"/>
        <v>25.268210104847128</v>
      </c>
      <c r="R157">
        <f t="shared" si="118"/>
        <v>1.5312105700029244</v>
      </c>
      <c r="S157">
        <f t="shared" si="119"/>
        <v>0.39941090607029334</v>
      </c>
      <c r="T157">
        <f t="shared" si="120"/>
        <v>-1.1599221448163803</v>
      </c>
      <c r="U157">
        <f t="shared" si="121"/>
        <v>0.99997582993730361</v>
      </c>
      <c r="V157">
        <f t="shared" si="122"/>
        <v>-6.9527203398767543E-3</v>
      </c>
      <c r="X157">
        <f t="shared" si="139"/>
        <v>-1.8554419990752242</v>
      </c>
      <c r="Y157">
        <f t="shared" si="123"/>
        <v>-86.049313926458765</v>
      </c>
      <c r="Z157">
        <f t="shared" si="140"/>
        <v>93.950686073541235</v>
      </c>
      <c r="AC157">
        <v>1</v>
      </c>
      <c r="AD157">
        <f t="shared" si="124"/>
        <v>18.223373653002003</v>
      </c>
      <c r="AE157">
        <f t="shared" si="125"/>
        <v>-7.0418012573563932E-6</v>
      </c>
      <c r="AF157">
        <f t="shared" si="126"/>
        <v>1.01279606328495E-3</v>
      </c>
      <c r="AG157">
        <f t="shared" si="141"/>
        <v>17985.397956743433</v>
      </c>
      <c r="AH157">
        <f t="shared" si="142"/>
        <v>-1112.4150643828762</v>
      </c>
      <c r="AJ157">
        <f t="shared" si="127"/>
        <v>18000</v>
      </c>
      <c r="AK157">
        <f t="shared" si="128"/>
        <v>41315.587594973993</v>
      </c>
      <c r="AL157">
        <v>1</v>
      </c>
      <c r="AM157">
        <f t="shared" si="129"/>
        <v>25.248414641372996</v>
      </c>
      <c r="AN157">
        <f t="shared" si="143"/>
        <v>1661.9925891581286</v>
      </c>
      <c r="AO157">
        <f t="shared" si="144"/>
        <v>-647.09042697951429</v>
      </c>
      <c r="AQ157">
        <f t="shared" si="130"/>
        <v>0.66093853271645742</v>
      </c>
      <c r="AR157">
        <f t="shared" si="131"/>
        <v>-81.295439524124262</v>
      </c>
      <c r="AT157">
        <f t="shared" si="156"/>
        <v>-78547.029056411324</v>
      </c>
      <c r="AU157">
        <f t="shared" si="157"/>
        <v>-1462866.0698901687</v>
      </c>
      <c r="AV157">
        <f t="shared" si="145"/>
        <v>-1.6244387457997014</v>
      </c>
      <c r="AW157">
        <f t="shared" si="146"/>
        <v>-9575.6480478797803</v>
      </c>
      <c r="AX157">
        <f t="shared" si="147"/>
        <v>-147602.18334343546</v>
      </c>
      <c r="AY157">
        <f t="shared" si="155"/>
        <v>-1.6355802472577883</v>
      </c>
      <c r="BA157">
        <f t="shared" si="132"/>
        <v>9.9043261350512406</v>
      </c>
      <c r="BB157">
        <f t="shared" si="148"/>
        <v>19.916498651939889</v>
      </c>
      <c r="BC157">
        <f t="shared" si="149"/>
        <v>1.11415014580869E-2</v>
      </c>
      <c r="BD157">
        <f t="shared" si="133"/>
        <v>-179.36163898828335</v>
      </c>
      <c r="BF157">
        <f t="shared" si="134"/>
        <v>-2.0283646975376781</v>
      </c>
      <c r="BG157">
        <f t="shared" si="135"/>
        <v>-103.14491948848122</v>
      </c>
      <c r="BH157">
        <f t="shared" si="150"/>
        <v>76.855080511518779</v>
      </c>
      <c r="BI157">
        <f t="shared" si="151"/>
        <v>76.855080511518779</v>
      </c>
      <c r="BJ157">
        <f t="shared" si="136"/>
        <v>0</v>
      </c>
      <c r="BK157">
        <f t="shared" si="152"/>
        <v>0</v>
      </c>
      <c r="BM157">
        <f t="shared" si="153"/>
        <v>-21.944863349477572</v>
      </c>
      <c r="BN157">
        <f t="shared" si="137"/>
        <v>-103.78328050019789</v>
      </c>
      <c r="BQ157" s="66">
        <f t="shared" si="154"/>
        <v>36.818459452225028</v>
      </c>
      <c r="BR157" s="71"/>
      <c r="BS157" s="71"/>
      <c r="BT157" s="71">
        <v>2951.2089999999998</v>
      </c>
      <c r="BU157" s="71">
        <v>6.1830800000000004</v>
      </c>
      <c r="BV157" s="71">
        <v>-249.92599999999999</v>
      </c>
      <c r="BW157" s="75"/>
      <c r="BY157" s="71"/>
      <c r="BZ157" s="71"/>
      <c r="CA157" s="71"/>
      <c r="CC157" s="71"/>
    </row>
    <row r="158" spans="1:81" x14ac:dyDescent="0.2">
      <c r="A158">
        <f t="shared" si="106"/>
        <v>62000</v>
      </c>
      <c r="B158">
        <f t="shared" si="138"/>
        <v>62</v>
      </c>
      <c r="C158">
        <f t="shared" si="107"/>
        <v>3.9841575231100594</v>
      </c>
      <c r="D158">
        <f t="shared" si="108"/>
        <v>1.3170892415232247</v>
      </c>
      <c r="F158">
        <f t="shared" si="109"/>
        <v>1.3261131711228282E-3</v>
      </c>
      <c r="G158">
        <f t="shared" si="110"/>
        <v>1.4995497246884428E-2</v>
      </c>
      <c r="H158">
        <f t="shared" si="111"/>
        <v>-3.1265971527531158</v>
      </c>
      <c r="J158">
        <f t="shared" si="112"/>
        <v>15</v>
      </c>
      <c r="M158">
        <f t="shared" si="113"/>
        <v>5.4411276741126058E-2</v>
      </c>
      <c r="N158">
        <f t="shared" si="114"/>
        <v>-1.5707963250000001</v>
      </c>
      <c r="O158">
        <f t="shared" si="115"/>
        <v>18.39872705515663</v>
      </c>
      <c r="P158">
        <f t="shared" si="116"/>
        <v>1.5164179449748476</v>
      </c>
      <c r="Q158">
        <f t="shared" si="117"/>
        <v>25.473322251321228</v>
      </c>
      <c r="R158">
        <f t="shared" si="118"/>
        <v>1.5315294805926312</v>
      </c>
      <c r="S158">
        <f t="shared" si="119"/>
        <v>0.39669848095913646</v>
      </c>
      <c r="T158">
        <f t="shared" si="120"/>
        <v>-1.1628789138878126</v>
      </c>
      <c r="U158">
        <f t="shared" si="121"/>
        <v>0.99997543534509581</v>
      </c>
      <c r="V158">
        <f t="shared" si="122"/>
        <v>-7.0092446775823916E-3</v>
      </c>
      <c r="X158">
        <f t="shared" si="139"/>
        <v>-1.9195899881749789</v>
      </c>
      <c r="Y158">
        <f t="shared" si="123"/>
        <v>-86.072296629865534</v>
      </c>
      <c r="Z158">
        <f t="shared" si="140"/>
        <v>93.927703370134466</v>
      </c>
      <c r="AC158">
        <v>1</v>
      </c>
      <c r="AD158">
        <f t="shared" si="124"/>
        <v>18.371531162376002</v>
      </c>
      <c r="AE158">
        <f t="shared" si="125"/>
        <v>-7.1567675413518352E-6</v>
      </c>
      <c r="AF158">
        <f t="shared" si="126"/>
        <v>1.0210301776206001E-3</v>
      </c>
      <c r="AG158">
        <f t="shared" si="141"/>
        <v>17985.38376260738</v>
      </c>
      <c r="AH158">
        <f t="shared" si="142"/>
        <v>-1105.4690012799988</v>
      </c>
      <c r="AJ158">
        <f t="shared" si="127"/>
        <v>18000</v>
      </c>
      <c r="AK158">
        <f t="shared" si="128"/>
        <v>41651.486681111994</v>
      </c>
      <c r="AL158">
        <v>1</v>
      </c>
      <c r="AM158">
        <f t="shared" si="129"/>
        <v>25.453686305124002</v>
      </c>
      <c r="AN158">
        <f t="shared" si="143"/>
        <v>1661.581520240288</v>
      </c>
      <c r="AO158">
        <f t="shared" si="144"/>
        <v>-641.8881054753424</v>
      </c>
      <c r="AQ158">
        <f t="shared" si="130"/>
        <v>0.65032190934512579</v>
      </c>
      <c r="AR158">
        <f t="shared" si="131"/>
        <v>-80.639916758795607</v>
      </c>
      <c r="AT158">
        <f t="shared" si="156"/>
        <v>-77448.639133844365</v>
      </c>
      <c r="AU158">
        <f t="shared" si="157"/>
        <v>-1451058.7602032875</v>
      </c>
      <c r="AV158">
        <f t="shared" si="145"/>
        <v>-1.624119611985761</v>
      </c>
      <c r="AW158">
        <f t="shared" si="146"/>
        <v>-8748.1271328188068</v>
      </c>
      <c r="AX158">
        <f t="shared" si="147"/>
        <v>-146376.51277042361</v>
      </c>
      <c r="AY158">
        <f t="shared" si="155"/>
        <v>-1.6304898780751549</v>
      </c>
      <c r="BA158">
        <f t="shared" si="132"/>
        <v>9.9096222853899452</v>
      </c>
      <c r="BB158">
        <f t="shared" si="148"/>
        <v>19.921142025130131</v>
      </c>
      <c r="BC158">
        <f t="shared" si="149"/>
        <v>6.370266089393839E-3</v>
      </c>
      <c r="BD158">
        <f t="shared" si="133"/>
        <v>-179.63501063828537</v>
      </c>
      <c r="BF158">
        <f t="shared" si="134"/>
        <v>-2.0986910037810436</v>
      </c>
      <c r="BG158">
        <f t="shared" si="135"/>
        <v>-103.31217706575977</v>
      </c>
      <c r="BH158">
        <f t="shared" si="150"/>
        <v>76.687822934240231</v>
      </c>
      <c r="BI158">
        <f t="shared" si="151"/>
        <v>76.687822934240231</v>
      </c>
      <c r="BJ158">
        <f t="shared" si="136"/>
        <v>0</v>
      </c>
      <c r="BK158">
        <f t="shared" si="152"/>
        <v>0</v>
      </c>
      <c r="BM158">
        <f t="shared" si="153"/>
        <v>-22.019833028911172</v>
      </c>
      <c r="BN158">
        <f t="shared" si="137"/>
        <v>-103.6771664274744</v>
      </c>
      <c r="BQ158" s="66">
        <f t="shared" si="154"/>
        <v>36.823102825415269</v>
      </c>
      <c r="BR158" s="71"/>
      <c r="BS158" s="71"/>
      <c r="BT158" s="71">
        <v>3019.9520000000002</v>
      </c>
      <c r="BU158" s="71">
        <v>6.0130600000000003</v>
      </c>
      <c r="BV158" s="71">
        <v>-249.65100000000001</v>
      </c>
      <c r="BW158" s="75"/>
      <c r="BY158" s="71"/>
      <c r="BZ158" s="71"/>
      <c r="CA158" s="71"/>
      <c r="CC158" s="71"/>
    </row>
    <row r="159" spans="1:81" x14ac:dyDescent="0.2">
      <c r="A159">
        <f t="shared" si="106"/>
        <v>62500</v>
      </c>
      <c r="B159">
        <f t="shared" si="138"/>
        <v>62.5</v>
      </c>
      <c r="C159">
        <f t="shared" si="107"/>
        <v>4.0142712701453522</v>
      </c>
      <c r="D159">
        <f t="shared" si="108"/>
        <v>1.3190338945430109</v>
      </c>
      <c r="F159">
        <f t="shared" si="109"/>
        <v>1.3049547614050984E-3</v>
      </c>
      <c r="G159">
        <f t="shared" si="110"/>
        <v>1.4875234026288653E-2</v>
      </c>
      <c r="H159">
        <f t="shared" si="111"/>
        <v>-3.1267174159737117</v>
      </c>
      <c r="J159">
        <f t="shared" si="112"/>
        <v>15</v>
      </c>
      <c r="M159">
        <f t="shared" si="113"/>
        <v>5.397598652719704E-2</v>
      </c>
      <c r="N159">
        <f t="shared" si="114"/>
        <v>-1.5707963250000001</v>
      </c>
      <c r="O159">
        <f t="shared" si="115"/>
        <v>18.546667315141701</v>
      </c>
      <c r="P159">
        <f t="shared" si="116"/>
        <v>1.5168521251842646</v>
      </c>
      <c r="Q159">
        <f t="shared" si="117"/>
        <v>25.678436947144853</v>
      </c>
      <c r="R159">
        <f t="shared" si="118"/>
        <v>1.5318432964139612</v>
      </c>
      <c r="S159">
        <f t="shared" si="119"/>
        <v>0.39401927255835051</v>
      </c>
      <c r="T159">
        <f t="shared" si="120"/>
        <v>-1.1657957695255077</v>
      </c>
      <c r="U159">
        <f t="shared" si="121"/>
        <v>0.99997503755828232</v>
      </c>
      <c r="V159">
        <f t="shared" si="122"/>
        <v>-7.0657689704982478E-3</v>
      </c>
      <c r="X159">
        <f t="shared" si="139"/>
        <v>-1.9832977716742692</v>
      </c>
      <c r="Y159">
        <f t="shared" si="123"/>
        <v>-86.095271899470035</v>
      </c>
      <c r="Z159">
        <f t="shared" si="140"/>
        <v>93.904728100529965</v>
      </c>
      <c r="AC159">
        <v>1</v>
      </c>
      <c r="AD159">
        <f t="shared" si="124"/>
        <v>18.519688671750004</v>
      </c>
      <c r="AE159">
        <f t="shared" si="125"/>
        <v>-7.2726647264322595E-6</v>
      </c>
      <c r="AF159">
        <f t="shared" si="126"/>
        <v>1.0292642919562502E-3</v>
      </c>
      <c r="AG159">
        <f t="shared" si="141"/>
        <v>17985.369453561736</v>
      </c>
      <c r="AH159">
        <f t="shared" si="142"/>
        <v>-1098.6503377743104</v>
      </c>
      <c r="AJ159">
        <f t="shared" si="127"/>
        <v>18000</v>
      </c>
      <c r="AK159">
        <f t="shared" si="128"/>
        <v>41987.385767249994</v>
      </c>
      <c r="AL159">
        <v>1</v>
      </c>
      <c r="AM159">
        <f t="shared" si="129"/>
        <v>25.658957968874997</v>
      </c>
      <c r="AN159">
        <f t="shared" si="143"/>
        <v>1661.1802575106681</v>
      </c>
      <c r="AO159">
        <f t="shared" si="144"/>
        <v>-636.76863894117446</v>
      </c>
      <c r="AQ159">
        <f t="shared" si="130"/>
        <v>0.63995904262127223</v>
      </c>
      <c r="AR159">
        <f t="shared" si="131"/>
        <v>-79.994880327659033</v>
      </c>
      <c r="AT159">
        <f t="shared" si="156"/>
        <v>-76376.502475506888</v>
      </c>
      <c r="AU159">
        <f t="shared" si="157"/>
        <v>-1439440.5683047432</v>
      </c>
      <c r="AV159">
        <f t="shared" si="145"/>
        <v>-1.6238064680361401</v>
      </c>
      <c r="AW159">
        <f t="shared" si="146"/>
        <v>-7940.3370593549207</v>
      </c>
      <c r="AX159">
        <f t="shared" si="147"/>
        <v>-145171.43310715095</v>
      </c>
      <c r="AY159">
        <f t="shared" si="155"/>
        <v>-1.6254381578315249</v>
      </c>
      <c r="BA159">
        <f t="shared" si="132"/>
        <v>9.914581668053037</v>
      </c>
      <c r="BB159">
        <f t="shared" si="148"/>
        <v>19.925487889557711</v>
      </c>
      <c r="BC159">
        <f t="shared" si="149"/>
        <v>1.6316897953847498E-3</v>
      </c>
      <c r="BD159">
        <f t="shared" si="133"/>
        <v>-179.90651106114305</v>
      </c>
      <c r="BF159">
        <f t="shared" si="134"/>
        <v>-2.1686434582230159</v>
      </c>
      <c r="BG159">
        <f t="shared" si="135"/>
        <v>-103.4791476528177</v>
      </c>
      <c r="BH159">
        <f t="shared" si="150"/>
        <v>76.520852347182299</v>
      </c>
      <c r="BI159">
        <f t="shared" si="151"/>
        <v>76.520852347182299</v>
      </c>
      <c r="BJ159">
        <f t="shared" si="136"/>
        <v>0</v>
      </c>
      <c r="BK159">
        <f t="shared" si="152"/>
        <v>0</v>
      </c>
      <c r="BM159">
        <f t="shared" si="153"/>
        <v>-22.094131347780728</v>
      </c>
      <c r="BN159">
        <f t="shared" si="137"/>
        <v>-103.57263659167464</v>
      </c>
      <c r="BQ159" s="66">
        <f t="shared" si="154"/>
        <v>36.827448689842853</v>
      </c>
      <c r="BR159" s="71"/>
      <c r="BS159" s="71"/>
      <c r="BT159" s="71">
        <v>3090.2950000000001</v>
      </c>
      <c r="BU159" s="71">
        <v>5.8544900000000002</v>
      </c>
      <c r="BV159" s="71">
        <v>-248.41800000000001</v>
      </c>
      <c r="BW159" s="75"/>
      <c r="BY159" s="71"/>
      <c r="BZ159" s="71"/>
      <c r="CA159" s="71"/>
      <c r="CC159" s="71"/>
    </row>
    <row r="160" spans="1:81" x14ac:dyDescent="0.2">
      <c r="A160">
        <f t="shared" si="106"/>
        <v>63000</v>
      </c>
      <c r="B160">
        <f t="shared" si="138"/>
        <v>63</v>
      </c>
      <c r="C160">
        <f t="shared" si="107"/>
        <v>4.044399971754097</v>
      </c>
      <c r="D160">
        <f t="shared" si="108"/>
        <v>1.3209495813861367</v>
      </c>
      <c r="F160">
        <f t="shared" si="109"/>
        <v>1.2842989182507039E-3</v>
      </c>
      <c r="G160">
        <f t="shared" si="110"/>
        <v>1.4756886796723139E-2</v>
      </c>
      <c r="H160">
        <f t="shared" si="111"/>
        <v>-3.1268357632032773</v>
      </c>
      <c r="J160">
        <f t="shared" si="112"/>
        <v>15</v>
      </c>
      <c r="M160">
        <f t="shared" si="113"/>
        <v>5.3547605681743098E-2</v>
      </c>
      <c r="N160">
        <f t="shared" si="114"/>
        <v>-1.5707963250000001</v>
      </c>
      <c r="O160">
        <f t="shared" si="115"/>
        <v>18.6946110160684</v>
      </c>
      <c r="P160">
        <f t="shared" si="116"/>
        <v>1.5172794335220026</v>
      </c>
      <c r="Q160">
        <f t="shared" si="117"/>
        <v>25.883554131710909</v>
      </c>
      <c r="R160">
        <f t="shared" si="118"/>
        <v>1.5321521385265822</v>
      </c>
      <c r="S160">
        <f t="shared" si="119"/>
        <v>0.39137274778327019</v>
      </c>
      <c r="T160">
        <f t="shared" si="120"/>
        <v>-1.168673465855171</v>
      </c>
      <c r="U160">
        <f t="shared" si="121"/>
        <v>0.99997463657687458</v>
      </c>
      <c r="V160">
        <f t="shared" si="122"/>
        <v>-7.1222932182631845E-3</v>
      </c>
      <c r="X160">
        <f t="shared" si="139"/>
        <v>-2.0465711920884484</v>
      </c>
      <c r="Y160">
        <f t="shared" si="123"/>
        <v>-86.118232066642435</v>
      </c>
      <c r="Z160">
        <f t="shared" si="140"/>
        <v>93.881767933357565</v>
      </c>
      <c r="AC160">
        <v>1</v>
      </c>
      <c r="AD160">
        <f t="shared" si="124"/>
        <v>18.667846181124002</v>
      </c>
      <c r="AE160">
        <f t="shared" si="125"/>
        <v>-7.3894928125976672E-6</v>
      </c>
      <c r="AF160">
        <f t="shared" si="126"/>
        <v>1.0374984062919001E-3</v>
      </c>
      <c r="AG160">
        <f t="shared" si="141"/>
        <v>17985.355029607039</v>
      </c>
      <c r="AH160">
        <f t="shared" si="142"/>
        <v>-1091.9560404650456</v>
      </c>
      <c r="AJ160">
        <f t="shared" si="127"/>
        <v>18000</v>
      </c>
      <c r="AK160">
        <f t="shared" si="128"/>
        <v>42323.284853387995</v>
      </c>
      <c r="AL160">
        <v>1</v>
      </c>
      <c r="AM160">
        <f t="shared" si="129"/>
        <v>25.864229632625999</v>
      </c>
      <c r="AN160">
        <f t="shared" si="143"/>
        <v>1660.7884916781359</v>
      </c>
      <c r="AO160">
        <f t="shared" si="144"/>
        <v>-631.730066597887</v>
      </c>
      <c r="AQ160">
        <f t="shared" si="130"/>
        <v>0.62984190968067011</v>
      </c>
      <c r="AR160">
        <f t="shared" si="131"/>
        <v>-79.360080619764446</v>
      </c>
      <c r="AT160">
        <f t="shared" si="156"/>
        <v>-75329.789046412247</v>
      </c>
      <c r="AU160">
        <f t="shared" si="157"/>
        <v>-1428006.9848025143</v>
      </c>
      <c r="AV160">
        <f t="shared" si="145"/>
        <v>-1.6234991719785876</v>
      </c>
      <c r="AW160">
        <f t="shared" si="146"/>
        <v>-7151.6559453953605</v>
      </c>
      <c r="AX160">
        <f t="shared" si="147"/>
        <v>-143986.42457033589</v>
      </c>
      <c r="AY160">
        <f t="shared" si="155"/>
        <v>-1.6204245024941439</v>
      </c>
      <c r="BA160">
        <f t="shared" si="132"/>
        <v>9.9192118493841637</v>
      </c>
      <c r="BB160">
        <f t="shared" si="148"/>
        <v>19.92954331594315</v>
      </c>
      <c r="BC160">
        <f t="shared" si="149"/>
        <v>-3.0746694844436817E-3</v>
      </c>
      <c r="BD160">
        <f t="shared" si="133"/>
        <v>-180.17616558505759</v>
      </c>
      <c r="BF160">
        <f t="shared" si="134"/>
        <v>-2.2382271942078482</v>
      </c>
      <c r="BG160">
        <f t="shared" si="135"/>
        <v>-103.64582220240588</v>
      </c>
      <c r="BH160">
        <f t="shared" si="150"/>
        <v>76.354177797594119</v>
      </c>
      <c r="BI160">
        <f t="shared" si="151"/>
        <v>76.354177797594119</v>
      </c>
      <c r="BJ160">
        <f t="shared" si="136"/>
        <v>0</v>
      </c>
      <c r="BK160">
        <f t="shared" si="152"/>
        <v>0</v>
      </c>
      <c r="BM160">
        <f t="shared" si="153"/>
        <v>-22.167770510150998</v>
      </c>
      <c r="BN160">
        <f t="shared" si="137"/>
        <v>-103.46965661734829</v>
      </c>
      <c r="BQ160" s="66">
        <f t="shared" si="154"/>
        <v>36.831504116228288</v>
      </c>
      <c r="BR160" s="71"/>
      <c r="BS160" s="71"/>
      <c r="BT160" s="71">
        <v>3162.2779999999998</v>
      </c>
      <c r="BU160" s="71">
        <v>5.6099300000000003</v>
      </c>
      <c r="BV160" s="71">
        <v>-248.626</v>
      </c>
      <c r="BW160" s="75"/>
      <c r="BY160" s="71"/>
      <c r="BZ160" s="71"/>
      <c r="CA160" s="71"/>
      <c r="CC160" s="71"/>
    </row>
    <row r="161" spans="1:81" x14ac:dyDescent="0.2">
      <c r="A161">
        <f t="shared" si="106"/>
        <v>63500</v>
      </c>
      <c r="B161">
        <f t="shared" si="138"/>
        <v>63.5</v>
      </c>
      <c r="C161">
        <f t="shared" si="107"/>
        <v>4.074543296197132</v>
      </c>
      <c r="D161">
        <f t="shared" si="108"/>
        <v>1.3228369307059997</v>
      </c>
      <c r="F161">
        <f t="shared" si="109"/>
        <v>1.2641298443630787E-3</v>
      </c>
      <c r="G161">
        <f t="shared" si="110"/>
        <v>1.4640410078679394E-2</v>
      </c>
      <c r="H161">
        <f t="shared" si="111"/>
        <v>-3.1269522399213208</v>
      </c>
      <c r="J161">
        <f t="shared" si="112"/>
        <v>15</v>
      </c>
      <c r="M161">
        <f t="shared" si="113"/>
        <v>5.3125970991335675E-2</v>
      </c>
      <c r="N161">
        <f t="shared" si="114"/>
        <v>-1.5707963250000001</v>
      </c>
      <c r="O161">
        <f t="shared" si="115"/>
        <v>18.842558076886338</v>
      </c>
      <c r="P161">
        <f t="shared" si="116"/>
        <v>1.5177000316988085</v>
      </c>
      <c r="Q161">
        <f t="shared" si="117"/>
        <v>26.088673746317621</v>
      </c>
      <c r="R161">
        <f t="shared" si="118"/>
        <v>1.532456124186748</v>
      </c>
      <c r="S161">
        <f t="shared" si="119"/>
        <v>0.38875838264742668</v>
      </c>
      <c r="T161">
        <f t="shared" si="120"/>
        <v>-1.1715127394842235</v>
      </c>
      <c r="U161">
        <f t="shared" si="121"/>
        <v>0.99997423240088368</v>
      </c>
      <c r="V161">
        <f t="shared" si="122"/>
        <v>-7.1788174205160695E-3</v>
      </c>
      <c r="X161">
        <f t="shared" si="139"/>
        <v>-2.1094159717363232</v>
      </c>
      <c r="Y161">
        <f t="shared" si="123"/>
        <v>-86.141169938824092</v>
      </c>
      <c r="Z161">
        <f t="shared" si="140"/>
        <v>93.858830061175908</v>
      </c>
      <c r="AC161">
        <v>1</v>
      </c>
      <c r="AD161">
        <f t="shared" si="124"/>
        <v>18.816003690498</v>
      </c>
      <c r="AE161">
        <f t="shared" si="125"/>
        <v>-7.5072517998480564E-6</v>
      </c>
      <c r="AF161">
        <f t="shared" si="126"/>
        <v>1.0457325206275499E-3</v>
      </c>
      <c r="AG161">
        <f t="shared" si="141"/>
        <v>17985.340490743849</v>
      </c>
      <c r="AH161">
        <f t="shared" si="142"/>
        <v>-1085.3831714910089</v>
      </c>
      <c r="AJ161">
        <f t="shared" si="127"/>
        <v>18000</v>
      </c>
      <c r="AK161">
        <f t="shared" si="128"/>
        <v>42659.183939525996</v>
      </c>
      <c r="AL161">
        <v>1</v>
      </c>
      <c r="AM161">
        <f t="shared" si="129"/>
        <v>26.069501296376998</v>
      </c>
      <c r="AN161">
        <f t="shared" si="143"/>
        <v>1660.4059255441518</v>
      </c>
      <c r="AO161">
        <f t="shared" si="144"/>
        <v>-626.77048895932046</v>
      </c>
      <c r="AQ161">
        <f t="shared" si="130"/>
        <v>0.61996280223186606</v>
      </c>
      <c r="AR161">
        <f t="shared" si="131"/>
        <v>-78.735275883446988</v>
      </c>
      <c r="AT161">
        <f t="shared" si="156"/>
        <v>-74307.701356859441</v>
      </c>
      <c r="AU161">
        <f t="shared" si="157"/>
        <v>-1416753.6425889398</v>
      </c>
      <c r="AV161">
        <f t="shared" si="145"/>
        <v>-1.6231975862874002</v>
      </c>
      <c r="AW161">
        <f t="shared" si="146"/>
        <v>-6381.4862031105149</v>
      </c>
      <c r="AX161">
        <f t="shared" si="147"/>
        <v>-142820.98489287368</v>
      </c>
      <c r="AY161">
        <f t="shared" si="155"/>
        <v>-1.6154483399669985</v>
      </c>
      <c r="BA161">
        <f t="shared" si="132"/>
        <v>9.9235201898033676</v>
      </c>
      <c r="BB161">
        <f t="shared" si="148"/>
        <v>19.933315152393753</v>
      </c>
      <c r="BC161">
        <f t="shared" si="149"/>
        <v>-7.7492463204016371E-3</v>
      </c>
      <c r="BD161">
        <f t="shared" si="133"/>
        <v>-180.44399910907364</v>
      </c>
      <c r="BF161">
        <f t="shared" si="134"/>
        <v>-2.3074472358632954</v>
      </c>
      <c r="BG161">
        <f t="shared" si="135"/>
        <v>-103.81219220016638</v>
      </c>
      <c r="BH161">
        <f t="shared" si="150"/>
        <v>76.187807799833621</v>
      </c>
      <c r="BI161">
        <f t="shared" si="151"/>
        <v>76.187807799833621</v>
      </c>
      <c r="BJ161">
        <f t="shared" si="136"/>
        <v>0</v>
      </c>
      <c r="BK161">
        <f t="shared" si="152"/>
        <v>0</v>
      </c>
      <c r="BM161">
        <f t="shared" si="153"/>
        <v>-22.240762388257053</v>
      </c>
      <c r="BN161">
        <f t="shared" si="137"/>
        <v>-103.36819309109275</v>
      </c>
      <c r="BQ161" s="66">
        <f t="shared" si="154"/>
        <v>36.835275952678892</v>
      </c>
      <c r="BR161" s="71"/>
      <c r="BS161" s="71"/>
      <c r="BT161" s="71">
        <v>3235.9369999999999</v>
      </c>
      <c r="BU161" s="71">
        <v>5.4320899999999996</v>
      </c>
      <c r="BV161" s="71">
        <v>-248.57499999999999</v>
      </c>
      <c r="BW161" s="75"/>
      <c r="BY161" s="71"/>
      <c r="BZ161" s="71"/>
      <c r="CA161" s="71"/>
      <c r="CC161" s="71"/>
    </row>
    <row r="162" spans="1:81" x14ac:dyDescent="0.2">
      <c r="A162">
        <f t="shared" si="106"/>
        <v>64000</v>
      </c>
      <c r="B162">
        <f t="shared" si="138"/>
        <v>64</v>
      </c>
      <c r="C162">
        <f t="shared" si="107"/>
        <v>4.1047009213212746</v>
      </c>
      <c r="D162">
        <f t="shared" si="108"/>
        <v>1.3246965535019324</v>
      </c>
      <c r="F162">
        <f t="shared" si="109"/>
        <v>1.2444323585360721E-3</v>
      </c>
      <c r="G162">
        <f t="shared" si="110"/>
        <v>1.4525759822391123E-2</v>
      </c>
      <c r="H162">
        <f t="shared" si="111"/>
        <v>-3.1270668901776091</v>
      </c>
      <c r="J162">
        <f t="shared" si="112"/>
        <v>15</v>
      </c>
      <c r="M162">
        <f t="shared" si="113"/>
        <v>5.2710924342965856E-2</v>
      </c>
      <c r="N162">
        <f t="shared" si="114"/>
        <v>-1.5707963250000001</v>
      </c>
      <c r="O162">
        <f t="shared" si="115"/>
        <v>18.990508419069002</v>
      </c>
      <c r="P162">
        <f t="shared" si="116"/>
        <v>1.5181140763957051</v>
      </c>
      <c r="Q162">
        <f t="shared" si="117"/>
        <v>26.29379573409426</v>
      </c>
      <c r="R162">
        <f t="shared" si="118"/>
        <v>1.5327553669954315</v>
      </c>
      <c r="S162">
        <f t="shared" si="119"/>
        <v>0.38617566216393517</v>
      </c>
      <c r="T162">
        <f t="shared" si="120"/>
        <v>-1.1743143099591964</v>
      </c>
      <c r="U162">
        <f t="shared" si="121"/>
        <v>0.99997382503032173</v>
      </c>
      <c r="V162">
        <f t="shared" si="122"/>
        <v>-7.2353415768957692E-3</v>
      </c>
      <c r="X162">
        <f t="shared" si="139"/>
        <v>-2.171837716432603</v>
      </c>
      <c r="Y162">
        <f t="shared" si="123"/>
        <v>-86.164078773138783</v>
      </c>
      <c r="Z162">
        <f t="shared" si="140"/>
        <v>93.835921226861217</v>
      </c>
      <c r="AC162">
        <v>1</v>
      </c>
      <c r="AD162">
        <f t="shared" si="124"/>
        <v>18.964161199872002</v>
      </c>
      <c r="AE162">
        <f t="shared" si="125"/>
        <v>-7.6259416881834315E-6</v>
      </c>
      <c r="AF162">
        <f t="shared" si="126"/>
        <v>1.0539666349632E-3</v>
      </c>
      <c r="AG162">
        <f t="shared" si="141"/>
        <v>17985.325836972715</v>
      </c>
      <c r="AH162">
        <f t="shared" si="142"/>
        <v>-1078.9288847985565</v>
      </c>
      <c r="AJ162">
        <f t="shared" si="127"/>
        <v>18000</v>
      </c>
      <c r="AK162">
        <f t="shared" si="128"/>
        <v>42995.083025663997</v>
      </c>
      <c r="AL162">
        <v>1</v>
      </c>
      <c r="AM162">
        <f t="shared" si="129"/>
        <v>26.274772960128001</v>
      </c>
      <c r="AN162">
        <f t="shared" si="143"/>
        <v>1660.0322734400879</v>
      </c>
      <c r="AO162">
        <f t="shared" si="144"/>
        <v>-621.88806545943635</v>
      </c>
      <c r="AQ162">
        <f t="shared" si="130"/>
        <v>0.61031431187061336</v>
      </c>
      <c r="AR162">
        <f t="shared" si="131"/>
        <v>-78.12023191943851</v>
      </c>
      <c r="AT162">
        <f t="shared" si="156"/>
        <v>-73309.472943083631</v>
      </c>
      <c r="AU162">
        <f t="shared" si="157"/>
        <v>-1405676.3112708614</v>
      </c>
      <c r="AV162">
        <f t="shared" si="145"/>
        <v>-1.6229015777108826</v>
      </c>
      <c r="AW162">
        <f t="shared" si="146"/>
        <v>-5629.2534095809133</v>
      </c>
      <c r="AX162">
        <f t="shared" si="147"/>
        <v>-141674.62858675505</v>
      </c>
      <c r="AY162">
        <f t="shared" si="155"/>
        <v>-1.6105091098553228</v>
      </c>
      <c r="BA162">
        <f t="shared" si="132"/>
        <v>9.927513850360361</v>
      </c>
      <c r="BB162">
        <f t="shared" si="148"/>
        <v>19.936810032836529</v>
      </c>
      <c r="BC162">
        <f t="shared" si="149"/>
        <v>-1.2392467855559808E-2</v>
      </c>
      <c r="BD162">
        <f t="shared" si="133"/>
        <v>-180.71003610668646</v>
      </c>
      <c r="BF162">
        <f t="shared" si="134"/>
        <v>-2.3763085015269994</v>
      </c>
      <c r="BG162">
        <f t="shared" si="135"/>
        <v>-103.9782496357771</v>
      </c>
      <c r="BH162">
        <f t="shared" si="150"/>
        <v>76.021750364222896</v>
      </c>
      <c r="BI162">
        <f t="shared" si="151"/>
        <v>76.021750364222896</v>
      </c>
      <c r="BJ162">
        <f t="shared" si="136"/>
        <v>0</v>
      </c>
      <c r="BK162">
        <f t="shared" si="152"/>
        <v>0</v>
      </c>
      <c r="BM162">
        <f t="shared" si="153"/>
        <v>-22.313118534363529</v>
      </c>
      <c r="BN162">
        <f t="shared" si="137"/>
        <v>-103.26821352909066</v>
      </c>
      <c r="BQ162" s="66">
        <f t="shared" si="154"/>
        <v>36.838770833121671</v>
      </c>
      <c r="BR162" s="71"/>
      <c r="BS162" s="71"/>
      <c r="BT162" s="71">
        <v>3311.3110000000001</v>
      </c>
      <c r="BU162" s="71">
        <v>5.2356100000000003</v>
      </c>
      <c r="BV162" s="71">
        <v>-247.75799999999998</v>
      </c>
      <c r="BW162" s="75"/>
      <c r="BY162" s="71"/>
      <c r="BZ162" s="71"/>
      <c r="CA162" s="71"/>
      <c r="CC162" s="71"/>
    </row>
    <row r="163" spans="1:81" x14ac:dyDescent="0.2">
      <c r="A163">
        <f t="shared" si="106"/>
        <v>64500</v>
      </c>
      <c r="B163">
        <f t="shared" si="138"/>
        <v>64.5</v>
      </c>
      <c r="C163">
        <f t="shared" si="107"/>
        <v>4.1348725342211861</v>
      </c>
      <c r="D163">
        <f t="shared" si="108"/>
        <v>1.3265290437195643</v>
      </c>
      <c r="F163">
        <f t="shared" si="109"/>
        <v>1.2251918670337862E-3</v>
      </c>
      <c r="G163">
        <f t="shared" si="110"/>
        <v>1.4412893352025767E-2</v>
      </c>
      <c r="H163">
        <f t="shared" si="111"/>
        <v>-3.1271797566479744</v>
      </c>
      <c r="J163">
        <f t="shared" si="112"/>
        <v>15</v>
      </c>
      <c r="M163">
        <f t="shared" si="113"/>
        <v>5.2302312526353721E-2</v>
      </c>
      <c r="N163">
        <f t="shared" si="114"/>
        <v>-1.5707963250000001</v>
      </c>
      <c r="O163">
        <f t="shared" si="115"/>
        <v>19.138461966516399</v>
      </c>
      <c r="P163">
        <f t="shared" si="116"/>
        <v>1.5185217194578544</v>
      </c>
      <c r="Q163">
        <f t="shared" si="117"/>
        <v>26.498920039930368</v>
      </c>
      <c r="R163">
        <f t="shared" si="118"/>
        <v>1.5330499770395891</v>
      </c>
      <c r="S163">
        <f t="shared" si="119"/>
        <v>0.38362408024234174</v>
      </c>
      <c r="T163">
        <f t="shared" si="120"/>
        <v>-1.1770788802109966</v>
      </c>
      <c r="U163">
        <f t="shared" si="121"/>
        <v>0.99997341446520038</v>
      </c>
      <c r="V163">
        <f t="shared" si="122"/>
        <v>-7.2918656870411538E-3</v>
      </c>
      <c r="X163">
        <f t="shared" si="139"/>
        <v>-2.2338419190164589</v>
      </c>
      <c r="Y163">
        <f t="shared" si="123"/>
        <v>-86.186952251502376</v>
      </c>
      <c r="Z163">
        <f t="shared" si="140"/>
        <v>93.813047748497624</v>
      </c>
      <c r="AC163">
        <v>1</v>
      </c>
      <c r="AD163">
        <f t="shared" si="124"/>
        <v>19.112318709246001</v>
      </c>
      <c r="AE163">
        <f t="shared" si="125"/>
        <v>-7.7455624776037898E-6</v>
      </c>
      <c r="AF163">
        <f t="shared" si="126"/>
        <v>1.0622007492988501E-3</v>
      </c>
      <c r="AG163">
        <f t="shared" si="141"/>
        <v>17985.311068294202</v>
      </c>
      <c r="AH163">
        <f t="shared" si="142"/>
        <v>-1072.5904225831684</v>
      </c>
      <c r="AJ163">
        <f t="shared" si="127"/>
        <v>18000</v>
      </c>
      <c r="AK163">
        <f t="shared" si="128"/>
        <v>43330.982111801997</v>
      </c>
      <c r="AL163">
        <v>1</v>
      </c>
      <c r="AM163">
        <f t="shared" si="129"/>
        <v>26.480044623878996</v>
      </c>
      <c r="AN163">
        <f t="shared" si="143"/>
        <v>1659.6672606948523</v>
      </c>
      <c r="AO163">
        <f t="shared" si="144"/>
        <v>-617.0810121886982</v>
      </c>
      <c r="AQ163">
        <f t="shared" si="130"/>
        <v>0.60088931618795816</v>
      </c>
      <c r="AR163">
        <f t="shared" si="131"/>
        <v>-77.514721788246604</v>
      </c>
      <c r="AT163">
        <f t="shared" si="156"/>
        <v>-72334.366930017146</v>
      </c>
      <c r="AU163">
        <f t="shared" si="157"/>
        <v>-1394770.8918594732</v>
      </c>
      <c r="AV163">
        <f t="shared" si="145"/>
        <v>-1.6226110171067729</v>
      </c>
      <c r="AW163">
        <f t="shared" si="146"/>
        <v>-4894.4052381851152</v>
      </c>
      <c r="AX163">
        <f t="shared" si="147"/>
        <v>-140546.88624309169</v>
      </c>
      <c r="AY163">
        <f t="shared" si="155"/>
        <v>-1.6056062632317261</v>
      </c>
      <c r="BA163">
        <f t="shared" si="132"/>
        <v>9.9311997990690237</v>
      </c>
      <c r="BB163">
        <f t="shared" si="148"/>
        <v>19.940034385090947</v>
      </c>
      <c r="BC163">
        <f t="shared" si="149"/>
        <v>-1.7004753875046852E-2</v>
      </c>
      <c r="BD163">
        <f t="shared" si="133"/>
        <v>-180.97430062981221</v>
      </c>
      <c r="BF163">
        <f t="shared" si="134"/>
        <v>-2.4448158070140193</v>
      </c>
      <c r="BG163">
        <f t="shared" si="135"/>
        <v>-104.14398697572145</v>
      </c>
      <c r="BH163">
        <f t="shared" si="150"/>
        <v>75.856013024278553</v>
      </c>
      <c r="BI163">
        <f t="shared" si="151"/>
        <v>75.856013024278553</v>
      </c>
      <c r="BJ163">
        <f t="shared" si="136"/>
        <v>0</v>
      </c>
      <c r="BK163">
        <f t="shared" si="152"/>
        <v>0</v>
      </c>
      <c r="BM163">
        <f t="shared" si="153"/>
        <v>-22.384850192104967</v>
      </c>
      <c r="BN163">
        <f t="shared" si="137"/>
        <v>-103.16968634590924</v>
      </c>
      <c r="BQ163" s="66">
        <f t="shared" si="154"/>
        <v>36.841995185376085</v>
      </c>
      <c r="BR163" s="71"/>
      <c r="BS163" s="71"/>
      <c r="BT163" s="71">
        <v>3388.442</v>
      </c>
      <c r="BU163" s="71">
        <v>5.0528199999999996</v>
      </c>
      <c r="BV163" s="71">
        <v>-247.756</v>
      </c>
      <c r="BW163" s="75"/>
      <c r="BY163" s="71"/>
      <c r="BZ163" s="71"/>
      <c r="CA163" s="71"/>
      <c r="CC163" s="71"/>
    </row>
    <row r="164" spans="1:81" x14ac:dyDescent="0.2">
      <c r="A164">
        <f t="shared" si="106"/>
        <v>65000</v>
      </c>
      <c r="B164">
        <f t="shared" si="138"/>
        <v>65</v>
      </c>
      <c r="C164">
        <f t="shared" si="107"/>
        <v>4.1650578309151998</v>
      </c>
      <c r="D164">
        <f t="shared" si="108"/>
        <v>1.3283349788275163</v>
      </c>
      <c r="F164">
        <f t="shared" si="109"/>
        <v>1.2063943365101728E-3</v>
      </c>
      <c r="G164">
        <f t="shared" si="110"/>
        <v>1.430176931247272E-2</v>
      </c>
      <c r="H164">
        <f t="shared" si="111"/>
        <v>-3.1272908806875277</v>
      </c>
      <c r="J164">
        <f t="shared" si="112"/>
        <v>15</v>
      </c>
      <c r="M164">
        <f t="shared" si="113"/>
        <v>5.1899987045381776E-2</v>
      </c>
      <c r="N164">
        <f t="shared" si="114"/>
        <v>-1.5707963250000001</v>
      </c>
      <c r="O164">
        <f t="shared" si="115"/>
        <v>19.286418645462064</v>
      </c>
      <c r="P164">
        <f t="shared" si="116"/>
        <v>1.5189231080795318</v>
      </c>
      <c r="Q164">
        <f t="shared" si="117"/>
        <v>26.704046610408152</v>
      </c>
      <c r="R164">
        <f t="shared" si="118"/>
        <v>1.5333400610269297</v>
      </c>
      <c r="S164">
        <f t="shared" si="119"/>
        <v>0.38110313958149622</v>
      </c>
      <c r="T164">
        <f t="shared" si="120"/>
        <v>-1.1798071369883025</v>
      </c>
      <c r="U164">
        <f t="shared" si="121"/>
        <v>0.99997300070553119</v>
      </c>
      <c r="V164">
        <f t="shared" si="122"/>
        <v>-7.3483897505910922E-3</v>
      </c>
      <c r="X164">
        <f t="shared" si="139"/>
        <v>-2.2954339627259559</v>
      </c>
      <c r="Y164">
        <f t="shared" si="123"/>
        <v>-86.209784457141467</v>
      </c>
      <c r="Z164">
        <f t="shared" si="140"/>
        <v>93.790215542858533</v>
      </c>
      <c r="AC164">
        <v>1</v>
      </c>
      <c r="AD164">
        <f t="shared" si="124"/>
        <v>19.260476218620003</v>
      </c>
      <c r="AE164">
        <f t="shared" si="125"/>
        <v>-7.8661141681091306E-6</v>
      </c>
      <c r="AF164">
        <f t="shared" si="126"/>
        <v>1.0704348636345E-3</v>
      </c>
      <c r="AG164">
        <f t="shared" si="141"/>
        <v>17985.296184708885</v>
      </c>
      <c r="AH164">
        <f t="shared" si="142"/>
        <v>-1066.3651118952475</v>
      </c>
      <c r="AJ164">
        <f t="shared" si="127"/>
        <v>18000</v>
      </c>
      <c r="AK164">
        <f t="shared" si="128"/>
        <v>43666.881197939998</v>
      </c>
      <c r="AL164">
        <v>1</v>
      </c>
      <c r="AM164">
        <f t="shared" si="129"/>
        <v>26.685316287629998</v>
      </c>
      <c r="AN164">
        <f t="shared" si="143"/>
        <v>1659.3106231309514</v>
      </c>
      <c r="AO164">
        <f t="shared" si="144"/>
        <v>-612.34759973385781</v>
      </c>
      <c r="AQ164">
        <f t="shared" si="130"/>
        <v>0.59168096562333594</v>
      </c>
      <c r="AR164">
        <f t="shared" si="131"/>
        <v>-76.918525531033666</v>
      </c>
      <c r="AT164">
        <f t="shared" si="156"/>
        <v>-71381.674671127912</v>
      </c>
      <c r="AU164">
        <f t="shared" si="157"/>
        <v>-1384033.411705846</v>
      </c>
      <c r="AV164">
        <f t="shared" si="145"/>
        <v>-1.6223257792852035</v>
      </c>
      <c r="AW164">
        <f t="shared" si="146"/>
        <v>-4176.4104470258671</v>
      </c>
      <c r="AX164">
        <f t="shared" si="147"/>
        <v>-139437.30386707821</v>
      </c>
      <c r="AY164">
        <f t="shared" si="155"/>
        <v>-1.6007392624042474</v>
      </c>
      <c r="BA164">
        <f t="shared" si="132"/>
        <v>9.9345848170299007</v>
      </c>
      <c r="BB164">
        <f t="shared" si="148"/>
        <v>19.942994438598397</v>
      </c>
      <c r="BC164">
        <f t="shared" si="149"/>
        <v>-2.1586516880956141E-2</v>
      </c>
      <c r="BD164">
        <f t="shared" si="133"/>
        <v>-181.23681631307997</v>
      </c>
      <c r="BF164">
        <f t="shared" si="134"/>
        <v>-2.5129738687353171</v>
      </c>
      <c r="BG164">
        <f t="shared" si="135"/>
        <v>-104.30939713758693</v>
      </c>
      <c r="BH164">
        <f t="shared" si="150"/>
        <v>75.690602862413073</v>
      </c>
      <c r="BI164">
        <f t="shared" si="151"/>
        <v>75.690602862413073</v>
      </c>
      <c r="BJ164">
        <f t="shared" si="136"/>
        <v>0</v>
      </c>
      <c r="BK164">
        <f t="shared" si="152"/>
        <v>0</v>
      </c>
      <c r="BM164">
        <f t="shared" si="153"/>
        <v>-22.45596830733372</v>
      </c>
      <c r="BN164">
        <f t="shared" si="137"/>
        <v>-103.07258082450697</v>
      </c>
      <c r="BQ164" s="66">
        <f t="shared" si="154"/>
        <v>36.844955238883536</v>
      </c>
      <c r="BR164" s="71"/>
      <c r="BS164" s="71"/>
      <c r="BT164" s="71">
        <v>3467.3690000000001</v>
      </c>
      <c r="BU164" s="71">
        <v>4.9028999999999998</v>
      </c>
      <c r="BV164" s="71">
        <v>-247.51300000000001</v>
      </c>
      <c r="BW164" s="75"/>
      <c r="BY164" s="71"/>
      <c r="BZ164" s="71"/>
      <c r="CA164" s="71"/>
      <c r="CC164" s="71"/>
    </row>
    <row r="165" spans="1:81" x14ac:dyDescent="0.2">
      <c r="A165">
        <f t="shared" si="106"/>
        <v>65500</v>
      </c>
      <c r="B165">
        <f t="shared" si="138"/>
        <v>65.5</v>
      </c>
      <c r="C165">
        <f t="shared" si="107"/>
        <v>4.1952565160344601</v>
      </c>
      <c r="D165">
        <f t="shared" si="108"/>
        <v>1.3301149203714748</v>
      </c>
      <c r="F165">
        <f t="shared" si="109"/>
        <v>1.188026268374406E-3</v>
      </c>
      <c r="G165">
        <f t="shared" si="110"/>
        <v>1.4192347618588242E-2</v>
      </c>
      <c r="H165">
        <f t="shared" si="111"/>
        <v>-3.1274003023814121</v>
      </c>
      <c r="J165">
        <f t="shared" si="112"/>
        <v>15</v>
      </c>
      <c r="M165">
        <f t="shared" si="113"/>
        <v>5.1503803938165123E-2</v>
      </c>
      <c r="N165">
        <f t="shared" si="114"/>
        <v>-1.5707963250000001</v>
      </c>
      <c r="O165">
        <f t="shared" si="115"/>
        <v>19.434378384384367</v>
      </c>
      <c r="P165">
        <f t="shared" si="116"/>
        <v>1.5193183849806806</v>
      </c>
      <c r="Q165">
        <f t="shared" si="117"/>
        <v>26.909175393738046</v>
      </c>
      <c r="R165">
        <f t="shared" si="118"/>
        <v>1.5336257224145293</v>
      </c>
      <c r="S165">
        <f t="shared" si="119"/>
        <v>0.37861235155897388</v>
      </c>
      <c r="T165">
        <f t="shared" si="120"/>
        <v>-1.1824997512793463</v>
      </c>
      <c r="U165">
        <f t="shared" si="121"/>
        <v>0.99997258375132636</v>
      </c>
      <c r="V165">
        <f t="shared" si="122"/>
        <v>-7.4049137671844591E-3</v>
      </c>
      <c r="X165">
        <f t="shared" si="139"/>
        <v>-2.3566191244271653</v>
      </c>
      <c r="Y165">
        <f t="shared" si="123"/>
        <v>-86.232569852436612</v>
      </c>
      <c r="Z165">
        <f t="shared" si="140"/>
        <v>93.767430147563388</v>
      </c>
      <c r="AC165">
        <v>1</v>
      </c>
      <c r="AD165">
        <f t="shared" si="124"/>
        <v>19.408633727994005</v>
      </c>
      <c r="AE165">
        <f t="shared" si="125"/>
        <v>-7.9875967596994546E-6</v>
      </c>
      <c r="AF165">
        <f t="shared" si="126"/>
        <v>1.07866897797015E-3</v>
      </c>
      <c r="AG165">
        <f t="shared" si="141"/>
        <v>17985.281186217318</v>
      </c>
      <c r="AH165">
        <f t="shared" si="142"/>
        <v>-1060.250361401384</v>
      </c>
      <c r="AJ165">
        <f t="shared" si="127"/>
        <v>18000</v>
      </c>
      <c r="AK165">
        <f t="shared" si="128"/>
        <v>44002.780284077999</v>
      </c>
      <c r="AL165">
        <v>1</v>
      </c>
      <c r="AM165">
        <f t="shared" si="129"/>
        <v>26.890587951381001</v>
      </c>
      <c r="AN165">
        <f t="shared" si="143"/>
        <v>1658.962106587285</v>
      </c>
      <c r="AO165">
        <f t="shared" si="144"/>
        <v>-607.68615111569181</v>
      </c>
      <c r="AQ165">
        <f t="shared" si="130"/>
        <v>0.58268267101736393</v>
      </c>
      <c r="AR165">
        <f t="shared" si="131"/>
        <v>-76.331429903274682</v>
      </c>
      <c r="AT165">
        <f t="shared" si="156"/>
        <v>-70450.714460647941</v>
      </c>
      <c r="AU165">
        <f t="shared" si="157"/>
        <v>-1373460.0196689607</v>
      </c>
      <c r="AV165">
        <f t="shared" si="145"/>
        <v>-1.622045742858804</v>
      </c>
      <c r="AW165">
        <f t="shared" si="146"/>
        <v>-3474.7579209435244</v>
      </c>
      <c r="AX165">
        <f t="shared" si="147"/>
        <v>-138345.4422458671</v>
      </c>
      <c r="AY165">
        <f t="shared" si="155"/>
        <v>-1.5959075806866021</v>
      </c>
      <c r="BA165">
        <f t="shared" si="132"/>
        <v>9.9376755043472347</v>
      </c>
      <c r="BB165">
        <f t="shared" si="148"/>
        <v>19.945696231824378</v>
      </c>
      <c r="BC165">
        <f t="shared" si="149"/>
        <v>-2.6138162172201884E-2</v>
      </c>
      <c r="BD165">
        <f t="shared" si="133"/>
        <v>-181.49760637840694</v>
      </c>
      <c r="BF165">
        <f t="shared" si="134"/>
        <v>-2.580787306676275</v>
      </c>
      <c r="BG165">
        <f t="shared" si="135"/>
        <v>-104.47447346580245</v>
      </c>
      <c r="BH165">
        <f t="shared" si="150"/>
        <v>75.525526534197553</v>
      </c>
      <c r="BI165">
        <f t="shared" si="151"/>
        <v>75.525526534197553</v>
      </c>
      <c r="BJ165">
        <f t="shared" si="136"/>
        <v>0</v>
      </c>
      <c r="BK165">
        <f t="shared" si="152"/>
        <v>0</v>
      </c>
      <c r="BM165">
        <f t="shared" si="153"/>
        <v>-22.526483538500656</v>
      </c>
      <c r="BN165">
        <f t="shared" si="137"/>
        <v>-102.97686708739553</v>
      </c>
      <c r="BQ165" s="66">
        <f t="shared" si="154"/>
        <v>36.84765703210951</v>
      </c>
      <c r="BR165" s="71"/>
      <c r="BS165" s="71"/>
      <c r="BT165" s="71">
        <v>3548.134</v>
      </c>
      <c r="BU165" s="71">
        <v>4.6522600000000001</v>
      </c>
      <c r="BV165" s="71">
        <v>-246.726</v>
      </c>
      <c r="BW165" s="75"/>
      <c r="BY165" s="71"/>
      <c r="BZ165" s="71"/>
      <c r="CA165" s="71"/>
      <c r="CC165" s="71"/>
    </row>
    <row r="166" spans="1:81" x14ac:dyDescent="0.2">
      <c r="A166">
        <f t="shared" ref="A166:A200" si="158">A165+500</f>
        <v>66000</v>
      </c>
      <c r="B166">
        <f t="shared" si="138"/>
        <v>66</v>
      </c>
      <c r="C166">
        <f t="shared" si="107"/>
        <v>4.2254683025247575</v>
      </c>
      <c r="D166">
        <f t="shared" si="108"/>
        <v>1.3318694145066394</v>
      </c>
      <c r="F166">
        <f t="shared" si="109"/>
        <v>1.1700746745144592E-3</v>
      </c>
      <c r="G166">
        <f t="shared" si="110"/>
        <v>1.4084589406765581E-2</v>
      </c>
      <c r="H166">
        <f t="shared" si="111"/>
        <v>-3.1275080605932346</v>
      </c>
      <c r="J166">
        <f t="shared" si="112"/>
        <v>15</v>
      </c>
      <c r="M166">
        <f t="shared" si="113"/>
        <v>5.111362360530023E-2</v>
      </c>
      <c r="N166">
        <f t="shared" si="114"/>
        <v>-1.5707963250000001</v>
      </c>
      <c r="O166">
        <f t="shared" si="115"/>
        <v>19.582341113921846</v>
      </c>
      <c r="P166">
        <f t="shared" si="116"/>
        <v>1.5197076885754923</v>
      </c>
      <c r="Q166">
        <f t="shared" si="117"/>
        <v>27.114306339697155</v>
      </c>
      <c r="R166">
        <f t="shared" si="118"/>
        <v>1.5339070615316202</v>
      </c>
      <c r="S166">
        <f t="shared" si="119"/>
        <v>0.37615123611752921</v>
      </c>
      <c r="T166">
        <f t="shared" si="120"/>
        <v>-1.1851573787223471</v>
      </c>
      <c r="U166">
        <f t="shared" si="121"/>
        <v>0.99997216360259755</v>
      </c>
      <c r="V166">
        <f t="shared" si="122"/>
        <v>-7.4614377364601286E-3</v>
      </c>
      <c r="X166">
        <f t="shared" si="139"/>
        <v>-2.4174025777062189</v>
      </c>
      <c r="Y166">
        <f t="shared" si="123"/>
        <v>-86.255303258012177</v>
      </c>
      <c r="Z166">
        <f t="shared" si="140"/>
        <v>93.744696741987823</v>
      </c>
      <c r="AC166">
        <v>1</v>
      </c>
      <c r="AD166">
        <f t="shared" si="124"/>
        <v>19.556791237368003</v>
      </c>
      <c r="AE166">
        <f t="shared" si="125"/>
        <v>-8.1100102523747636E-6</v>
      </c>
      <c r="AF166">
        <f t="shared" si="126"/>
        <v>1.0869030923058001E-3</v>
      </c>
      <c r="AG166">
        <f t="shared" si="141"/>
        <v>17985.26607282009</v>
      </c>
      <c r="AH166">
        <f t="shared" si="142"/>
        <v>-1054.2436582928326</v>
      </c>
      <c r="AJ166">
        <f t="shared" si="127"/>
        <v>18000</v>
      </c>
      <c r="AK166">
        <f t="shared" si="128"/>
        <v>44338.679370215999</v>
      </c>
      <c r="AL166">
        <v>1</v>
      </c>
      <c r="AM166">
        <f t="shared" si="129"/>
        <v>27.095859615131999</v>
      </c>
      <c r="AN166">
        <f t="shared" si="143"/>
        <v>1658.6214664670499</v>
      </c>
      <c r="AO166">
        <f t="shared" si="144"/>
        <v>-603.09503981954936</v>
      </c>
      <c r="AQ166">
        <f t="shared" si="130"/>
        <v>0.57388809182209466</v>
      </c>
      <c r="AR166">
        <f t="shared" si="131"/>
        <v>-75.753228120516496</v>
      </c>
      <c r="AT166">
        <f t="shared" si="156"/>
        <v>-69540.830313821411</v>
      </c>
      <c r="AU166">
        <f t="shared" si="157"/>
        <v>-1363046.9815038992</v>
      </c>
      <c r="AV166">
        <f t="shared" si="145"/>
        <v>-1.6217707900995655</v>
      </c>
      <c r="AW166">
        <f t="shared" si="146"/>
        <v>-2788.9557638986462</v>
      </c>
      <c r="AX166">
        <f t="shared" si="147"/>
        <v>-137270.87634746323</v>
      </c>
      <c r="AY166">
        <f t="shared" si="155"/>
        <v>-1.5911107021708535</v>
      </c>
      <c r="BA166">
        <f t="shared" si="132"/>
        <v>9.9404782858472416</v>
      </c>
      <c r="BB166">
        <f t="shared" si="148"/>
        <v>19.948145619348686</v>
      </c>
      <c r="BC166">
        <f t="shared" si="149"/>
        <v>-3.0660087928711999E-2</v>
      </c>
      <c r="BD166">
        <f t="shared" si="133"/>
        <v>-181.75669363982252</v>
      </c>
      <c r="BF166">
        <f t="shared" si="134"/>
        <v>-2.6482606472434127</v>
      </c>
      <c r="BG166">
        <f t="shared" si="135"/>
        <v>-104.63920970873014</v>
      </c>
      <c r="BH166">
        <f t="shared" si="150"/>
        <v>75.360790291269865</v>
      </c>
      <c r="BI166">
        <f t="shared" si="151"/>
        <v>75.360790291269865</v>
      </c>
      <c r="BJ166">
        <f t="shared" si="136"/>
        <v>0</v>
      </c>
      <c r="BK166">
        <f t="shared" si="152"/>
        <v>0</v>
      </c>
      <c r="BM166">
        <f t="shared" si="153"/>
        <v>-22.596406266592098</v>
      </c>
      <c r="BN166">
        <f t="shared" si="137"/>
        <v>-102.88251606890762</v>
      </c>
      <c r="BQ166" s="66">
        <f t="shared" si="154"/>
        <v>36.850106419633825</v>
      </c>
      <c r="BR166" s="71"/>
      <c r="BS166" s="71"/>
      <c r="BT166" s="71">
        <v>3630.7809999999999</v>
      </c>
      <c r="BU166" s="71">
        <v>4.4950999999999999</v>
      </c>
      <c r="BV166" s="71">
        <v>-246.21199999999999</v>
      </c>
      <c r="BW166" s="75"/>
      <c r="BY166" s="71"/>
      <c r="BZ166" s="71"/>
      <c r="CA166" s="71"/>
      <c r="CC166" s="71"/>
    </row>
    <row r="167" spans="1:81" x14ac:dyDescent="0.2">
      <c r="A167">
        <f t="shared" si="158"/>
        <v>66500</v>
      </c>
      <c r="B167">
        <f t="shared" si="138"/>
        <v>66.5</v>
      </c>
      <c r="C167">
        <f t="shared" si="107"/>
        <v>4.25569291136045</v>
      </c>
      <c r="D167">
        <f t="shared" si="108"/>
        <v>1.3335989925094953</v>
      </c>
      <c r="F167">
        <f t="shared" si="109"/>
        <v>1.1525270542972195E-3</v>
      </c>
      <c r="G167">
        <f t="shared" si="110"/>
        <v>1.397845698870692E-2</v>
      </c>
      <c r="H167">
        <f t="shared" si="111"/>
        <v>-3.1276141930112935</v>
      </c>
      <c r="J167">
        <f t="shared" si="112"/>
        <v>15</v>
      </c>
      <c r="M167">
        <f t="shared" si="113"/>
        <v>5.0729310645861884E-2</v>
      </c>
      <c r="N167">
        <f t="shared" si="114"/>
        <v>-1.5707963250000001</v>
      </c>
      <c r="O167">
        <f t="shared" si="115"/>
        <v>19.730306766792278</v>
      </c>
      <c r="P167">
        <f t="shared" si="116"/>
        <v>1.5200911531334291</v>
      </c>
      <c r="Q167">
        <f t="shared" si="117"/>
        <v>27.319439399570477</v>
      </c>
      <c r="R167">
        <f t="shared" si="118"/>
        <v>1.5341841756968566</v>
      </c>
      <c r="S167">
        <f t="shared" si="119"/>
        <v>0.37371932164902288</v>
      </c>
      <c r="T167">
        <f t="shared" si="120"/>
        <v>-1.1877806600048515</v>
      </c>
      <c r="U167">
        <f t="shared" si="121"/>
        <v>0.9999717402593572</v>
      </c>
      <c r="V167">
        <f t="shared" si="122"/>
        <v>-7.5179616580569762E-3</v>
      </c>
      <c r="X167">
        <f t="shared" si="139"/>
        <v>-2.4777893958321999</v>
      </c>
      <c r="Y167">
        <f t="shared" si="123"/>
        <v>-86.277979832998312</v>
      </c>
      <c r="Z167">
        <f t="shared" si="140"/>
        <v>93.722020167001688</v>
      </c>
      <c r="AC167">
        <v>1</v>
      </c>
      <c r="AD167">
        <f t="shared" si="124"/>
        <v>19.704948746742001</v>
      </c>
      <c r="AE167">
        <f t="shared" si="125"/>
        <v>-8.2333546461350558E-6</v>
      </c>
      <c r="AF167">
        <f t="shared" si="126"/>
        <v>1.0951372066414502E-3</v>
      </c>
      <c r="AG167">
        <f t="shared" si="141"/>
        <v>17985.25084451777</v>
      </c>
      <c r="AH167">
        <f t="shared" si="142"/>
        <v>-1048.3425653334577</v>
      </c>
      <c r="AJ167">
        <f t="shared" si="127"/>
        <v>18000</v>
      </c>
      <c r="AK167">
        <f t="shared" si="128"/>
        <v>44674.578456354</v>
      </c>
      <c r="AL167">
        <v>1</v>
      </c>
      <c r="AM167">
        <f t="shared" si="129"/>
        <v>27.301131278883002</v>
      </c>
      <c r="AN167">
        <f t="shared" si="143"/>
        <v>1658.2884673092633</v>
      </c>
      <c r="AO167">
        <f t="shared" si="144"/>
        <v>-598.57268791388128</v>
      </c>
      <c r="AQ167">
        <f t="shared" si="130"/>
        <v>0.56529112492933864</v>
      </c>
      <c r="AR167">
        <f t="shared" si="131"/>
        <v>-75.18371961560203</v>
      </c>
      <c r="AT167">
        <f t="shared" si="156"/>
        <v>-68651.390811097852</v>
      </c>
      <c r="AU167">
        <f t="shared" si="157"/>
        <v>-1352790.6754585623</v>
      </c>
      <c r="AV167">
        <f t="shared" si="145"/>
        <v>-1.6215008068021171</v>
      </c>
      <c r="AW167">
        <f t="shared" si="146"/>
        <v>-2118.5304387215442</v>
      </c>
      <c r="AX167">
        <f t="shared" si="147"/>
        <v>-136213.19474887132</v>
      </c>
      <c r="AY167">
        <f t="shared" si="155"/>
        <v>-1.5863481215027182</v>
      </c>
      <c r="BA167">
        <f t="shared" si="132"/>
        <v>9.9429994166037954</v>
      </c>
      <c r="BB167">
        <f t="shared" si="148"/>
        <v>19.950348278658051</v>
      </c>
      <c r="BC167">
        <f t="shared" si="149"/>
        <v>-3.5152685299398856E-2</v>
      </c>
      <c r="BD167">
        <f t="shared" si="133"/>
        <v>-182.01410050850856</v>
      </c>
      <c r="BF167">
        <f t="shared" si="134"/>
        <v>-2.7153983259873899</v>
      </c>
      <c r="BG167">
        <f t="shared" si="135"/>
        <v>-104.8035999970319</v>
      </c>
      <c r="BH167">
        <f t="shared" si="150"/>
        <v>75.196400002968105</v>
      </c>
      <c r="BI167">
        <f t="shared" si="151"/>
        <v>75.196400002968105</v>
      </c>
      <c r="BJ167">
        <f t="shared" si="136"/>
        <v>0</v>
      </c>
      <c r="BK167">
        <f t="shared" si="152"/>
        <v>0</v>
      </c>
      <c r="BM167">
        <f t="shared" si="153"/>
        <v>-22.665746604645442</v>
      </c>
      <c r="BN167">
        <f t="shared" si="137"/>
        <v>-102.78949948852333</v>
      </c>
      <c r="BQ167" s="66">
        <f t="shared" si="154"/>
        <v>36.852309078943186</v>
      </c>
      <c r="BR167" s="71"/>
      <c r="BS167" s="71"/>
      <c r="BT167" s="71">
        <v>3715.3519999999999</v>
      </c>
      <c r="BU167" s="71">
        <v>4.3437000000000001</v>
      </c>
      <c r="BV167" s="71">
        <v>-245.97</v>
      </c>
      <c r="BW167" s="75"/>
      <c r="BY167" s="71"/>
      <c r="BZ167" s="71"/>
      <c r="CA167" s="71"/>
      <c r="CC167" s="71"/>
    </row>
    <row r="168" spans="1:81" x14ac:dyDescent="0.2">
      <c r="A168">
        <f t="shared" si="158"/>
        <v>67000</v>
      </c>
      <c r="B168">
        <f t="shared" si="138"/>
        <v>67</v>
      </c>
      <c r="C168">
        <f t="shared" si="107"/>
        <v>4.2859300712699451</v>
      </c>
      <c r="D168">
        <f t="shared" si="108"/>
        <v>1.3353041712698122</v>
      </c>
      <c r="F168">
        <f t="shared" si="109"/>
        <v>1.1353713727689913E-3</v>
      </c>
      <c r="G168">
        <f t="shared" si="110"/>
        <v>1.3873913807281008E-2</v>
      </c>
      <c r="H168">
        <f t="shared" si="111"/>
        <v>-3.127718736192719</v>
      </c>
      <c r="J168">
        <f t="shared" si="112"/>
        <v>15</v>
      </c>
      <c r="M168">
        <f t="shared" si="113"/>
        <v>5.0350733700743514E-2</v>
      </c>
      <c r="N168">
        <f t="shared" si="114"/>
        <v>-1.5707963250000001</v>
      </c>
      <c r="O168">
        <f t="shared" si="115"/>
        <v>19.878275277715428</v>
      </c>
      <c r="P168">
        <f t="shared" si="116"/>
        <v>1.5204689089330781</v>
      </c>
      <c r="Q168">
        <f t="shared" si="117"/>
        <v>27.524574526094757</v>
      </c>
      <c r="R168">
        <f t="shared" si="118"/>
        <v>1.5344571593303482</v>
      </c>
      <c r="S168">
        <f t="shared" si="119"/>
        <v>0.37131614487623193</v>
      </c>
      <c r="T168">
        <f t="shared" si="120"/>
        <v>-1.1903702212522447</v>
      </c>
      <c r="U168">
        <f t="shared" si="121"/>
        <v>0.99997131372161707</v>
      </c>
      <c r="V168">
        <f t="shared" si="122"/>
        <v>-7.5744855316138802E-3</v>
      </c>
      <c r="X168">
        <f t="shared" si="139"/>
        <v>-2.5377845545978461</v>
      </c>
      <c r="Y168">
        <f t="shared" si="123"/>
        <v>-86.300595056396318</v>
      </c>
      <c r="Z168">
        <f t="shared" si="140"/>
        <v>93.699404943603682</v>
      </c>
      <c r="AC168">
        <v>1</v>
      </c>
      <c r="AD168">
        <f t="shared" si="124"/>
        <v>19.853106256116003</v>
      </c>
      <c r="AE168">
        <f t="shared" si="125"/>
        <v>-8.3576299409803297E-6</v>
      </c>
      <c r="AF168">
        <f t="shared" si="126"/>
        <v>1.1033713209771001E-3</v>
      </c>
      <c r="AG168">
        <f t="shared" si="141"/>
        <v>17985.235501310955</v>
      </c>
      <c r="AH168">
        <f t="shared" si="142"/>
        <v>-1042.5447180398603</v>
      </c>
      <c r="AJ168">
        <f t="shared" si="127"/>
        <v>18000</v>
      </c>
      <c r="AK168">
        <f t="shared" si="128"/>
        <v>45010.477542492001</v>
      </c>
      <c r="AL168">
        <v>1</v>
      </c>
      <c r="AM168">
        <f t="shared" si="129"/>
        <v>27.506402942634001</v>
      </c>
      <c r="AN168">
        <f t="shared" si="143"/>
        <v>1657.9628823825092</v>
      </c>
      <c r="AO168">
        <f t="shared" si="144"/>
        <v>-594.11756425220847</v>
      </c>
      <c r="AQ168">
        <f t="shared" si="130"/>
        <v>0.55688589408030298</v>
      </c>
      <c r="AR168">
        <f t="shared" si="131"/>
        <v>-74.622709806760597</v>
      </c>
      <c r="AT168">
        <f t="shared" si="156"/>
        <v>-67781.788002467176</v>
      </c>
      <c r="AU168">
        <f t="shared" si="157"/>
        <v>-1342687.5880680003</v>
      </c>
      <c r="AV168">
        <f t="shared" si="145"/>
        <v>-1.62123568215308</v>
      </c>
      <c r="AW168">
        <f t="shared" si="146"/>
        <v>-1463.0259514260742</v>
      </c>
      <c r="AX168">
        <f t="shared" si="147"/>
        <v>-135171.99909184227</v>
      </c>
      <c r="AY168">
        <f t="shared" si="155"/>
        <v>-1.5816193436596826</v>
      </c>
      <c r="BA168">
        <f t="shared" si="132"/>
        <v>9.9452449872778264</v>
      </c>
      <c r="BB168">
        <f t="shared" si="148"/>
        <v>19.952309716654881</v>
      </c>
      <c r="BC168">
        <f t="shared" si="149"/>
        <v>-3.9616338493397407E-2</v>
      </c>
      <c r="BD168">
        <f t="shared" si="133"/>
        <v>-182.26984899802702</v>
      </c>
      <c r="BF168">
        <f t="shared" si="134"/>
        <v>-2.7822046902092974</v>
      </c>
      <c r="BG168">
        <f t="shared" si="135"/>
        <v>-104.9676388232366</v>
      </c>
      <c r="BH168">
        <f t="shared" si="150"/>
        <v>75.032361176763402</v>
      </c>
      <c r="BI168">
        <f t="shared" si="151"/>
        <v>75.032361176763402</v>
      </c>
      <c r="BJ168">
        <f t="shared" si="136"/>
        <v>0</v>
      </c>
      <c r="BK168">
        <f t="shared" si="152"/>
        <v>0</v>
      </c>
      <c r="BM168">
        <f t="shared" si="153"/>
        <v>-22.734514406864179</v>
      </c>
      <c r="BN168">
        <f t="shared" si="137"/>
        <v>-102.69778982520958</v>
      </c>
      <c r="BQ168" s="66">
        <f t="shared" si="154"/>
        <v>36.854270516940012</v>
      </c>
      <c r="BR168" s="71"/>
      <c r="BS168" s="71"/>
      <c r="BT168" s="71">
        <v>3801.8939999999998</v>
      </c>
      <c r="BU168" s="71">
        <v>4.1437400000000002</v>
      </c>
      <c r="BV168" s="71">
        <v>-245.16899999999998</v>
      </c>
      <c r="BW168" s="75"/>
      <c r="BY168" s="71"/>
      <c r="BZ168" s="71"/>
      <c r="CA168" s="71"/>
      <c r="CC168" s="71"/>
    </row>
    <row r="169" spans="1:81" x14ac:dyDescent="0.2">
      <c r="A169">
        <f t="shared" si="158"/>
        <v>67500</v>
      </c>
      <c r="B169">
        <f t="shared" si="138"/>
        <v>67.5</v>
      </c>
      <c r="C169">
        <f t="shared" si="107"/>
        <v>4.3161795184721736</v>
      </c>
      <c r="D169">
        <f t="shared" si="108"/>
        <v>1.3369854537637289</v>
      </c>
      <c r="F169">
        <f t="shared" si="109"/>
        <v>1.1185960399852798E-3</v>
      </c>
      <c r="G169">
        <f t="shared" si="110"/>
        <v>1.3770924394357486E-2</v>
      </c>
      <c r="H169">
        <f t="shared" si="111"/>
        <v>-3.1278217256056426</v>
      </c>
      <c r="J169">
        <f t="shared" si="112"/>
        <v>15</v>
      </c>
      <c r="M169">
        <f t="shared" si="113"/>
        <v>4.9977765302960227E-2</v>
      </c>
      <c r="N169">
        <f t="shared" si="114"/>
        <v>-1.5707963250000001</v>
      </c>
      <c r="O169">
        <f t="shared" si="115"/>
        <v>20.026246583339159</v>
      </c>
      <c r="P169">
        <f t="shared" si="116"/>
        <v>1.5208410824092107</v>
      </c>
      <c r="Q169">
        <f t="shared" si="117"/>
        <v>27.729711673404818</v>
      </c>
      <c r="R169">
        <f t="shared" si="118"/>
        <v>1.5347261040607287</v>
      </c>
      <c r="S169">
        <f t="shared" si="119"/>
        <v>0.36894125073291512</v>
      </c>
      <c r="T169">
        <f t="shared" si="120"/>
        <v>-1.1929266744056912</v>
      </c>
      <c r="U169">
        <f t="shared" si="121"/>
        <v>0.99997088398938994</v>
      </c>
      <c r="V169">
        <f t="shared" si="122"/>
        <v>-7.6310093567697216E-3</v>
      </c>
      <c r="X169">
        <f t="shared" si="139"/>
        <v>-2.597392935045014</v>
      </c>
      <c r="Y169">
        <f t="shared" si="123"/>
        <v>-86.323144709483046</v>
      </c>
      <c r="Z169">
        <f t="shared" si="140"/>
        <v>93.676855290516954</v>
      </c>
      <c r="AC169">
        <v>1</v>
      </c>
      <c r="AD169">
        <f t="shared" si="124"/>
        <v>20.001263765490002</v>
      </c>
      <c r="AE169">
        <f t="shared" si="125"/>
        <v>-8.4828361369105868E-6</v>
      </c>
      <c r="AF169">
        <f t="shared" si="126"/>
        <v>1.1116054353127501E-3</v>
      </c>
      <c r="AG169">
        <f t="shared" si="141"/>
        <v>17985.220043200214</v>
      </c>
      <c r="AH169">
        <f t="shared" si="142"/>
        <v>-1036.8478219868302</v>
      </c>
      <c r="AJ169">
        <f t="shared" si="127"/>
        <v>18000</v>
      </c>
      <c r="AK169">
        <f t="shared" si="128"/>
        <v>45346.376628630002</v>
      </c>
      <c r="AL169">
        <v>1</v>
      </c>
      <c r="AM169">
        <f t="shared" si="129"/>
        <v>27.711674606385003</v>
      </c>
      <c r="AN169">
        <f t="shared" si="143"/>
        <v>1657.6444932995921</v>
      </c>
      <c r="AO169">
        <f t="shared" si="144"/>
        <v>-589.72818275424584</v>
      </c>
      <c r="AQ169">
        <f t="shared" si="130"/>
        <v>0.54866673982223202</v>
      </c>
      <c r="AR169">
        <f t="shared" si="131"/>
        <v>-74.070009876001322</v>
      </c>
      <c r="AT169">
        <f t="shared" si="156"/>
        <v>-66931.436368386858</v>
      </c>
      <c r="AU169">
        <f t="shared" si="157"/>
        <v>-1332734.3101360779</v>
      </c>
      <c r="AV169">
        <f t="shared" si="145"/>
        <v>-1.6209753086061871</v>
      </c>
      <c r="AW169">
        <f t="shared" si="146"/>
        <v>-822.00307747024158</v>
      </c>
      <c r="AX169">
        <f t="shared" si="147"/>
        <v>-134146.90356467056</v>
      </c>
      <c r="AY169">
        <f t="shared" si="155"/>
        <v>-1.5769238837320889</v>
      </c>
      <c r="BA169">
        <f t="shared" si="132"/>
        <v>9.9472209292764919</v>
      </c>
      <c r="BB169">
        <f t="shared" si="148"/>
        <v>19.954035275895251</v>
      </c>
      <c r="BC169">
        <f t="shared" si="149"/>
        <v>-4.4051424874098188E-2</v>
      </c>
      <c r="BD169">
        <f t="shared" si="133"/>
        <v>-182.52396072970748</v>
      </c>
      <c r="BF169">
        <f t="shared" si="134"/>
        <v>-2.8486840014571317</v>
      </c>
      <c r="BG169">
        <f t="shared" si="135"/>
        <v>-105.13132102243813</v>
      </c>
      <c r="BH169">
        <f t="shared" si="150"/>
        <v>74.868678977561871</v>
      </c>
      <c r="BI169">
        <f t="shared" si="151"/>
        <v>74.868678977561871</v>
      </c>
      <c r="BJ169">
        <f t="shared" si="136"/>
        <v>0</v>
      </c>
      <c r="BK169">
        <f t="shared" si="152"/>
        <v>0</v>
      </c>
      <c r="BM169">
        <f t="shared" si="153"/>
        <v>-22.802719277352384</v>
      </c>
      <c r="BN169">
        <f t="shared" si="137"/>
        <v>-102.60736029273065</v>
      </c>
      <c r="BQ169" s="66">
        <f t="shared" si="154"/>
        <v>36.855996076180389</v>
      </c>
      <c r="BR169" s="71"/>
      <c r="BS169" s="71"/>
      <c r="BT169" s="71">
        <v>3890.451</v>
      </c>
      <c r="BU169" s="71">
        <v>3.9573</v>
      </c>
      <c r="BV169" s="71">
        <v>-244.768</v>
      </c>
      <c r="BW169" s="75"/>
      <c r="BY169" s="71"/>
      <c r="BZ169" s="71"/>
      <c r="CA169" s="71"/>
      <c r="CC169" s="71"/>
    </row>
    <row r="170" spans="1:81" x14ac:dyDescent="0.2">
      <c r="A170">
        <f t="shared" si="158"/>
        <v>68000</v>
      </c>
      <c r="B170">
        <f t="shared" si="138"/>
        <v>68</v>
      </c>
      <c r="C170">
        <f t="shared" si="107"/>
        <v>4.3464409964235866</v>
      </c>
      <c r="D170">
        <f t="shared" si="108"/>
        <v>1.3386433295087443</v>
      </c>
      <c r="F170">
        <f t="shared" si="109"/>
        <v>1.1021898914034755E-3</v>
      </c>
      <c r="G170">
        <f t="shared" si="110"/>
        <v>1.3669454330515276E-2</v>
      </c>
      <c r="H170">
        <f t="shared" si="111"/>
        <v>-3.1279231956694851</v>
      </c>
      <c r="J170">
        <f t="shared" si="112"/>
        <v>15</v>
      </c>
      <c r="M170">
        <f t="shared" si="113"/>
        <v>4.961028173455611E-2</v>
      </c>
      <c r="N170">
        <f t="shared" si="114"/>
        <v>-1.5707963250000001</v>
      </c>
      <c r="O170">
        <f t="shared" si="115"/>
        <v>20.174220622168832</v>
      </c>
      <c r="P170">
        <f t="shared" si="116"/>
        <v>1.5212077962933905</v>
      </c>
      <c r="Q170">
        <f t="shared" si="117"/>
        <v>27.934850796982261</v>
      </c>
      <c r="R170">
        <f t="shared" si="118"/>
        <v>1.5349910988275148</v>
      </c>
      <c r="S170">
        <f t="shared" si="119"/>
        <v>0.36659419224248002</v>
      </c>
      <c r="T170">
        <f t="shared" si="120"/>
        <v>-1.195450617589761</v>
      </c>
      <c r="U170">
        <f t="shared" si="121"/>
        <v>0.99997045106268789</v>
      </c>
      <c r="V170">
        <f t="shared" si="122"/>
        <v>-7.6875331331633821E-3</v>
      </c>
      <c r="X170">
        <f t="shared" si="139"/>
        <v>-2.6566193260809552</v>
      </c>
      <c r="Y170">
        <f t="shared" si="123"/>
        <v>-86.345624859192597</v>
      </c>
      <c r="Z170">
        <f t="shared" si="140"/>
        <v>93.654375140807403</v>
      </c>
      <c r="AC170">
        <v>1</v>
      </c>
      <c r="AD170">
        <f t="shared" si="124"/>
        <v>20.149421274864</v>
      </c>
      <c r="AE170">
        <f t="shared" si="125"/>
        <v>-8.6089732339258289E-6</v>
      </c>
      <c r="AF170">
        <f t="shared" si="126"/>
        <v>1.1198395496484E-3</v>
      </c>
      <c r="AG170">
        <f t="shared" si="141"/>
        <v>17985.204470186163</v>
      </c>
      <c r="AH170">
        <f t="shared" si="142"/>
        <v>-1031.2496502316812</v>
      </c>
      <c r="AJ170">
        <f t="shared" si="127"/>
        <v>18000</v>
      </c>
      <c r="AK170">
        <f t="shared" si="128"/>
        <v>45682.275714768002</v>
      </c>
      <c r="AL170">
        <v>1</v>
      </c>
      <c r="AM170">
        <f t="shared" si="129"/>
        <v>27.916946270135998</v>
      </c>
      <c r="AN170">
        <f t="shared" si="143"/>
        <v>1657.3330896518848</v>
      </c>
      <c r="AO170">
        <f t="shared" si="144"/>
        <v>-585.40310076215576</v>
      </c>
      <c r="AQ170">
        <f t="shared" si="130"/>
        <v>0.54062820997999672</v>
      </c>
      <c r="AR170">
        <f t="shared" si="131"/>
        <v>-73.525436557279562</v>
      </c>
      <c r="AT170">
        <f t="shared" si="156"/>
        <v>-66099.771833985229</v>
      </c>
      <c r="AU170">
        <f t="shared" si="157"/>
        <v>-1322927.5328948207</v>
      </c>
      <c r="AV170">
        <f t="shared" si="145"/>
        <v>-1.6207195817628752</v>
      </c>
      <c r="AW170">
        <f t="shared" si="146"/>
        <v>-195.03862751746522</v>
      </c>
      <c r="AX170">
        <f t="shared" si="147"/>
        <v>-133137.53440859442</v>
      </c>
      <c r="AY170">
        <f t="shared" si="155"/>
        <v>-1.5722612667073186</v>
      </c>
      <c r="BA170">
        <f t="shared" si="132"/>
        <v>9.9489330197381367</v>
      </c>
      <c r="BB170">
        <f t="shared" si="148"/>
        <v>19.955530140568602</v>
      </c>
      <c r="BC170">
        <f t="shared" si="149"/>
        <v>-4.8458315055556644E-2</v>
      </c>
      <c r="BD170">
        <f t="shared" si="133"/>
        <v>-182.77645693817121</v>
      </c>
      <c r="BF170">
        <f t="shared" si="134"/>
        <v>-2.9148404379185493</v>
      </c>
      <c r="BG170">
        <f t="shared" si="135"/>
        <v>-105.29464175405856</v>
      </c>
      <c r="BH170">
        <f t="shared" si="150"/>
        <v>74.70535824594144</v>
      </c>
      <c r="BI170">
        <f t="shared" si="151"/>
        <v>74.70535824594144</v>
      </c>
      <c r="BJ170">
        <f t="shared" si="136"/>
        <v>0</v>
      </c>
      <c r="BK170">
        <f t="shared" si="152"/>
        <v>0</v>
      </c>
      <c r="BM170">
        <f t="shared" si="153"/>
        <v>-22.870370578487147</v>
      </c>
      <c r="BN170">
        <f t="shared" si="137"/>
        <v>-102.51818481588735</v>
      </c>
      <c r="BQ170" s="66">
        <f t="shared" si="154"/>
        <v>36.857490940853737</v>
      </c>
      <c r="BR170" s="71"/>
      <c r="BS170" s="71"/>
      <c r="BT170" s="71">
        <v>3981.0720000000001</v>
      </c>
      <c r="BU170" s="71">
        <v>3.8980899999999998</v>
      </c>
      <c r="BV170" s="71">
        <v>-244.315</v>
      </c>
      <c r="BW170" s="75"/>
      <c r="BY170" s="71"/>
      <c r="BZ170" s="71"/>
      <c r="CA170" s="71"/>
      <c r="CC170" s="71"/>
    </row>
    <row r="171" spans="1:81" x14ac:dyDescent="0.2">
      <c r="A171">
        <f t="shared" si="158"/>
        <v>68500</v>
      </c>
      <c r="B171">
        <f t="shared" si="138"/>
        <v>68.5</v>
      </c>
      <c r="C171">
        <f t="shared" si="107"/>
        <v>4.3767142555751697</v>
      </c>
      <c r="D171">
        <f t="shared" si="108"/>
        <v>1.3402782750013917</v>
      </c>
      <c r="F171">
        <f t="shared" si="109"/>
        <v>1.0861421692764054E-3</v>
      </c>
      <c r="G171">
        <f t="shared" si="110"/>
        <v>1.3569470206528472E-2</v>
      </c>
      <c r="H171">
        <f t="shared" si="111"/>
        <v>-3.1280231797934719</v>
      </c>
      <c r="J171">
        <f t="shared" si="112"/>
        <v>15</v>
      </c>
      <c r="M171">
        <f t="shared" si="113"/>
        <v>4.9248162889778326E-2</v>
      </c>
      <c r="N171">
        <f t="shared" si="114"/>
        <v>-1.5707963250000001</v>
      </c>
      <c r="O171">
        <f t="shared" si="115"/>
        <v>20.322197334499748</v>
      </c>
      <c r="P171">
        <f t="shared" si="116"/>
        <v>1.5215691697484592</v>
      </c>
      <c r="Q171">
        <f t="shared" si="117"/>
        <v>28.139991853606421</v>
      </c>
      <c r="R171">
        <f t="shared" si="118"/>
        <v>1.5352522299789977</v>
      </c>
      <c r="S171">
        <f t="shared" si="119"/>
        <v>0.36427453039556418</v>
      </c>
      <c r="T171">
        <f t="shared" si="120"/>
        <v>-1.1979426354699987</v>
      </c>
      <c r="U171">
        <f t="shared" si="121"/>
        <v>0.99997001494152304</v>
      </c>
      <c r="V171">
        <f t="shared" si="122"/>
        <v>-7.7440568604337451E-3</v>
      </c>
      <c r="X171">
        <f t="shared" si="139"/>
        <v>-2.7154684269914835</v>
      </c>
      <c r="Y171">
        <f t="shared" si="123"/>
        <v>-86.368031842419157</v>
      </c>
      <c r="Z171">
        <f t="shared" si="140"/>
        <v>93.631968157580843</v>
      </c>
      <c r="AC171">
        <v>1</v>
      </c>
      <c r="AD171">
        <f t="shared" si="124"/>
        <v>20.297578784238002</v>
      </c>
      <c r="AE171">
        <f t="shared" si="125"/>
        <v>-8.7360412320260509E-6</v>
      </c>
      <c r="AF171">
        <f t="shared" si="126"/>
        <v>1.1280736639840501E-3</v>
      </c>
      <c r="AG171">
        <f t="shared" si="141"/>
        <v>17985.188782269379</v>
      </c>
      <c r="AH171">
        <f t="shared" si="142"/>
        <v>-1025.7480408513804</v>
      </c>
      <c r="AJ171">
        <f t="shared" si="127"/>
        <v>18000</v>
      </c>
      <c r="AK171">
        <f t="shared" si="128"/>
        <v>46018.174800906003</v>
      </c>
      <c r="AL171">
        <v>1</v>
      </c>
      <c r="AM171">
        <f t="shared" si="129"/>
        <v>28.122217933887001</v>
      </c>
      <c r="AN171">
        <f t="shared" si="143"/>
        <v>1657.0284686622247</v>
      </c>
      <c r="AO171">
        <f t="shared" si="144"/>
        <v>-581.14091746812937</v>
      </c>
      <c r="AQ171">
        <f t="shared" si="130"/>
        <v>0.53276505061267976</v>
      </c>
      <c r="AR171">
        <f t="shared" si="131"/>
        <v>-72.988811933937129</v>
      </c>
      <c r="AT171">
        <f t="shared" si="156"/>
        <v>-65286.250833441511</v>
      </c>
      <c r="AU171">
        <f t="shared" si="157"/>
        <v>-1313264.0443323154</v>
      </c>
      <c r="AV171">
        <f t="shared" si="145"/>
        <v>-1.6204684002580705</v>
      </c>
      <c r="AW171">
        <f t="shared" si="146"/>
        <v>418.27524958774961</v>
      </c>
      <c r="AX171">
        <f t="shared" si="147"/>
        <v>-132143.52944744157</v>
      </c>
      <c r="AY171">
        <f t="shared" si="155"/>
        <v>-1.5676310272571967</v>
      </c>
      <c r="BA171">
        <f t="shared" si="132"/>
        <v>9.9503868863485483</v>
      </c>
      <c r="BB171">
        <f t="shared" si="148"/>
        <v>19.956799342230624</v>
      </c>
      <c r="BC171">
        <f t="shared" si="149"/>
        <v>-5.2837373000873766E-2</v>
      </c>
      <c r="BD171">
        <f t="shared" si="133"/>
        <v>-183.02735847696781</v>
      </c>
      <c r="BF171">
        <f t="shared" si="134"/>
        <v>-2.980678096716046</v>
      </c>
      <c r="BG171">
        <f t="shared" si="135"/>
        <v>-105.4575964846148</v>
      </c>
      <c r="BH171">
        <f t="shared" si="150"/>
        <v>74.542403515385203</v>
      </c>
      <c r="BI171">
        <f t="shared" si="151"/>
        <v>74.542403515385203</v>
      </c>
      <c r="BJ171">
        <f t="shared" si="136"/>
        <v>0</v>
      </c>
      <c r="BK171">
        <f t="shared" si="152"/>
        <v>0</v>
      </c>
      <c r="BM171">
        <f t="shared" si="153"/>
        <v>-22.937477438946669</v>
      </c>
      <c r="BN171">
        <f t="shared" si="137"/>
        <v>-102.43023800764699</v>
      </c>
      <c r="BQ171" s="66">
        <f t="shared" si="154"/>
        <v>36.858760142515756</v>
      </c>
      <c r="BR171" s="71"/>
      <c r="BS171" s="71"/>
      <c r="BT171" s="71">
        <v>4073.8029999999999</v>
      </c>
      <c r="BU171" s="71">
        <v>3.5600999999999998</v>
      </c>
      <c r="BV171" s="71">
        <v>-244.142</v>
      </c>
      <c r="BW171" s="75"/>
      <c r="BY171" s="71"/>
      <c r="BZ171" s="71"/>
      <c r="CA171" s="71"/>
      <c r="CC171" s="71"/>
    </row>
    <row r="172" spans="1:81" x14ac:dyDescent="0.2">
      <c r="A172">
        <f t="shared" si="158"/>
        <v>69000</v>
      </c>
      <c r="B172">
        <f t="shared" si="138"/>
        <v>69</v>
      </c>
      <c r="C172">
        <f t="shared" si="107"/>
        <v>4.4069990531390459</v>
      </c>
      <c r="D172">
        <f t="shared" si="108"/>
        <v>1.3418907541383431</v>
      </c>
      <c r="F172">
        <f t="shared" si="109"/>
        <v>1.0704425049887715E-3</v>
      </c>
      <c r="G172">
        <f t="shared" si="110"/>
        <v>1.3470939586538827E-2</v>
      </c>
      <c r="H172">
        <f t="shared" si="111"/>
        <v>-3.1281217104134615</v>
      </c>
      <c r="J172">
        <f t="shared" si="112"/>
        <v>15</v>
      </c>
      <c r="M172">
        <f t="shared" si="113"/>
        <v>4.8891292144200217E-2</v>
      </c>
      <c r="N172">
        <f t="shared" si="114"/>
        <v>-1.5707963250000001</v>
      </c>
      <c r="O172">
        <f t="shared" si="115"/>
        <v>20.470176662352554</v>
      </c>
      <c r="P172">
        <f t="shared" si="116"/>
        <v>1.5219253184972097</v>
      </c>
      <c r="Q172">
        <f t="shared" si="117"/>
        <v>28.345134801307424</v>
      </c>
      <c r="R172">
        <f t="shared" si="118"/>
        <v>1.535509581365889</v>
      </c>
      <c r="S172">
        <f t="shared" si="119"/>
        <v>0.36198183402682094</v>
      </c>
      <c r="T172">
        <f t="shared" si="120"/>
        <v>-1.2004032996006873</v>
      </c>
      <c r="U172">
        <f t="shared" si="121"/>
        <v>0.99996957562590838</v>
      </c>
      <c r="V172">
        <f t="shared" si="122"/>
        <v>-7.8005805382196942E-3</v>
      </c>
      <c r="X172">
        <f t="shared" si="139"/>
        <v>-2.773944849856262</v>
      </c>
      <c r="Y172">
        <f t="shared" si="123"/>
        <v>-86.390362251187071</v>
      </c>
      <c r="Z172">
        <f t="shared" si="140"/>
        <v>93.609637748812929</v>
      </c>
      <c r="AC172">
        <v>1</v>
      </c>
      <c r="AD172">
        <f t="shared" si="124"/>
        <v>20.445736293612004</v>
      </c>
      <c r="AE172">
        <f t="shared" si="125"/>
        <v>-8.8640401312112595E-6</v>
      </c>
      <c r="AF172">
        <f t="shared" si="126"/>
        <v>1.1363077783197E-3</v>
      </c>
      <c r="AG172">
        <f t="shared" si="141"/>
        <v>17985.172979450475</v>
      </c>
      <c r="AH172">
        <f t="shared" si="142"/>
        <v>-1020.3408945867679</v>
      </c>
      <c r="AJ172">
        <f t="shared" si="127"/>
        <v>18000</v>
      </c>
      <c r="AK172">
        <f t="shared" si="128"/>
        <v>46354.073887044004</v>
      </c>
      <c r="AL172">
        <v>1</v>
      </c>
      <c r="AM172">
        <f t="shared" si="129"/>
        <v>28.327489597637999</v>
      </c>
      <c r="AN172">
        <f t="shared" si="143"/>
        <v>1656.7304348552975</v>
      </c>
      <c r="AO172">
        <f t="shared" si="144"/>
        <v>-576.94027240971741</v>
      </c>
      <c r="AQ172">
        <f t="shared" si="130"/>
        <v>0.52507219742714628</v>
      </c>
      <c r="AR172">
        <f t="shared" si="131"/>
        <v>-72.459963244946181</v>
      </c>
      <c r="AT172">
        <f t="shared" si="156"/>
        <v>-64490.349421645318</v>
      </c>
      <c r="AU172">
        <f t="shared" si="157"/>
        <v>-1303740.725680626</v>
      </c>
      <c r="AV172">
        <f t="shared" si="145"/>
        <v>-1.6202216656509059</v>
      </c>
      <c r="AW172">
        <f t="shared" si="146"/>
        <v>1018.3317287693807</v>
      </c>
      <c r="AX172">
        <f t="shared" si="147"/>
        <v>-131164.53763924842</v>
      </c>
      <c r="AY172">
        <f t="shared" si="155"/>
        <v>-1.5630327095286998</v>
      </c>
      <c r="BA172">
        <f t="shared" si="132"/>
        <v>9.9515880119944473</v>
      </c>
      <c r="BB172">
        <f t="shared" si="148"/>
        <v>19.957847765300968</v>
      </c>
      <c r="BC172">
        <f t="shared" si="149"/>
        <v>-5.7188956122206092E-2</v>
      </c>
      <c r="BD172">
        <f t="shared" si="133"/>
        <v>-183.27668582430542</v>
      </c>
      <c r="BF172">
        <f t="shared" si="134"/>
        <v>-3.0462009961096497</v>
      </c>
      <c r="BG172">
        <f t="shared" si="135"/>
        <v>-105.62018097143128</v>
      </c>
      <c r="BH172">
        <f t="shared" si="150"/>
        <v>74.379819028568718</v>
      </c>
      <c r="BI172">
        <f t="shared" si="151"/>
        <v>74.379819028568718</v>
      </c>
      <c r="BJ172">
        <f t="shared" si="136"/>
        <v>0</v>
      </c>
      <c r="BK172">
        <f t="shared" si="152"/>
        <v>0</v>
      </c>
      <c r="BM172">
        <f t="shared" si="153"/>
        <v>-23.004048761410615</v>
      </c>
      <c r="BN172">
        <f t="shared" si="137"/>
        <v>-102.34349514712586</v>
      </c>
      <c r="BQ172" s="66">
        <f t="shared" si="154"/>
        <v>36.8598085655861</v>
      </c>
      <c r="BR172" s="71"/>
      <c r="BS172" s="71"/>
      <c r="BT172" s="71">
        <v>4168.6940000000004</v>
      </c>
      <c r="BU172" s="71">
        <v>3.4098799999999998</v>
      </c>
      <c r="BV172" s="71">
        <v>-243.709</v>
      </c>
      <c r="BW172" s="75"/>
      <c r="BY172" s="71"/>
      <c r="BZ172" s="71"/>
      <c r="CA172" s="71"/>
      <c r="CC172" s="71"/>
    </row>
    <row r="173" spans="1:81" x14ac:dyDescent="0.2">
      <c r="A173">
        <f t="shared" si="158"/>
        <v>69500</v>
      </c>
      <c r="B173">
        <f t="shared" si="138"/>
        <v>69.5</v>
      </c>
      <c r="C173">
        <f t="shared" si="107"/>
        <v>4.4372951528642153</v>
      </c>
      <c r="D173">
        <f t="shared" si="108"/>
        <v>1.3434812186216489</v>
      </c>
      <c r="F173">
        <f t="shared" si="109"/>
        <v>1.0550809022822417E-3</v>
      </c>
      <c r="G173">
        <f t="shared" si="110"/>
        <v>1.3373830972829241E-2</v>
      </c>
      <c r="H173">
        <f t="shared" si="111"/>
        <v>-3.1282188190271709</v>
      </c>
      <c r="J173">
        <f t="shared" si="112"/>
        <v>15</v>
      </c>
      <c r="M173">
        <f t="shared" si="113"/>
        <v>4.8539556229493748E-2</v>
      </c>
      <c r="N173">
        <f t="shared" si="114"/>
        <v>-1.5707963250000001</v>
      </c>
      <c r="O173">
        <f t="shared" si="115"/>
        <v>20.618158549411373</v>
      </c>
      <c r="P173">
        <f t="shared" si="116"/>
        <v>1.5222763549455345</v>
      </c>
      <c r="Q173">
        <f t="shared" si="117"/>
        <v>28.550279599321282</v>
      </c>
      <c r="R173">
        <f t="shared" si="118"/>
        <v>1.5357632344309373</v>
      </c>
      <c r="S173">
        <f t="shared" si="119"/>
        <v>0.35971567969117313</v>
      </c>
      <c r="T173">
        <f t="shared" si="120"/>
        <v>-1.2028331687630567</v>
      </c>
      <c r="U173">
        <f t="shared" si="121"/>
        <v>0.99996913311585633</v>
      </c>
      <c r="V173">
        <f t="shared" si="122"/>
        <v>-7.8571041661601206E-3</v>
      </c>
      <c r="X173">
        <f t="shared" si="139"/>
        <v>-2.8320531218715601</v>
      </c>
      <c r="Y173">
        <f t="shared" si="123"/>
        <v>-86.412612918637961</v>
      </c>
      <c r="Z173">
        <f t="shared" si="140"/>
        <v>93.587387081362039</v>
      </c>
      <c r="AC173">
        <v>1</v>
      </c>
      <c r="AD173">
        <f t="shared" si="124"/>
        <v>20.593893802986003</v>
      </c>
      <c r="AE173">
        <f t="shared" si="125"/>
        <v>-8.9929699314814497E-6</v>
      </c>
      <c r="AF173">
        <f t="shared" si="126"/>
        <v>1.14454189265535E-3</v>
      </c>
      <c r="AG173">
        <f t="shared" si="141"/>
        <v>17985.157061730053</v>
      </c>
      <c r="AH173">
        <f t="shared" si="142"/>
        <v>-1015.0261725884579</v>
      </c>
      <c r="AJ173">
        <f t="shared" si="127"/>
        <v>18000</v>
      </c>
      <c r="AK173">
        <f t="shared" si="128"/>
        <v>46689.972973181997</v>
      </c>
      <c r="AL173">
        <v>1</v>
      </c>
      <c r="AM173">
        <f t="shared" si="129"/>
        <v>28.532761261389002</v>
      </c>
      <c r="AN173">
        <f t="shared" si="143"/>
        <v>1656.4387997444987</v>
      </c>
      <c r="AO173">
        <f t="shared" si="144"/>
        <v>-572.79984402953221</v>
      </c>
      <c r="AQ173">
        <f t="shared" si="130"/>
        <v>0.51754476762239932</v>
      </c>
      <c r="AR173">
        <f t="shared" si="131"/>
        <v>-71.938722699513505</v>
      </c>
      <c r="AT173">
        <f t="shared" si="156"/>
        <v>-63711.562430424172</v>
      </c>
      <c r="AU173">
        <f t="shared" si="157"/>
        <v>-1294354.5480556183</v>
      </c>
      <c r="AV173">
        <f t="shared" si="145"/>
        <v>-1.6199792823201267</v>
      </c>
      <c r="AW173">
        <f t="shared" si="146"/>
        <v>1605.509937595788</v>
      </c>
      <c r="AX173">
        <f t="shared" si="147"/>
        <v>-130200.21864865892</v>
      </c>
      <c r="AY173">
        <f t="shared" si="155"/>
        <v>-1.5584658669380587</v>
      </c>
      <c r="BA173">
        <f t="shared" si="132"/>
        <v>9.952541739259452</v>
      </c>
      <c r="BB173">
        <f t="shared" si="148"/>
        <v>19.958680152336072</v>
      </c>
      <c r="BC173">
        <f t="shared" si="149"/>
        <v>-6.1513415382068004E-2</v>
      </c>
      <c r="BD173">
        <f t="shared" si="133"/>
        <v>-183.52445908885488</v>
      </c>
      <c r="BF173">
        <f t="shared" si="134"/>
        <v>-3.1114130776124704</v>
      </c>
      <c r="BG173">
        <f t="shared" si="135"/>
        <v>-105.78239124724402</v>
      </c>
      <c r="BH173">
        <f t="shared" si="150"/>
        <v>74.217608752755979</v>
      </c>
      <c r="BI173">
        <f t="shared" si="151"/>
        <v>74.217608752755979</v>
      </c>
      <c r="BJ173">
        <f t="shared" si="136"/>
        <v>0</v>
      </c>
      <c r="BK173">
        <f t="shared" si="152"/>
        <v>0</v>
      </c>
      <c r="BM173">
        <f t="shared" si="153"/>
        <v>-23.07009322994854</v>
      </c>
      <c r="BN173">
        <f t="shared" si="137"/>
        <v>-102.25793215838912</v>
      </c>
      <c r="BQ173" s="66">
        <f t="shared" si="154"/>
        <v>36.860640952621203</v>
      </c>
      <c r="BR173" s="71"/>
      <c r="BS173" s="71"/>
      <c r="BT173" s="71">
        <v>4265.7950000000001</v>
      </c>
      <c r="BU173" s="71">
        <v>3.2244999999999999</v>
      </c>
      <c r="BV173" s="71">
        <v>-243.32400000000001</v>
      </c>
      <c r="BW173" s="75"/>
      <c r="BY173" s="71"/>
      <c r="BZ173" s="71"/>
      <c r="CA173" s="71"/>
      <c r="CC173" s="71"/>
    </row>
    <row r="174" spans="1:81" x14ac:dyDescent="0.2">
      <c r="A174">
        <f t="shared" si="158"/>
        <v>70000</v>
      </c>
      <c r="B174">
        <f t="shared" si="138"/>
        <v>70</v>
      </c>
      <c r="C174">
        <f t="shared" si="107"/>
        <v>4.4676023248210388</v>
      </c>
      <c r="D174">
        <f t="shared" si="108"/>
        <v>1.3450501083487876</v>
      </c>
      <c r="F174">
        <f t="shared" si="109"/>
        <v>1.0400477213184487E-3</v>
      </c>
      <c r="G174">
        <f t="shared" si="110"/>
        <v>1.3278113772117498E-2</v>
      </c>
      <c r="H174">
        <f t="shared" si="111"/>
        <v>-3.1283145362278826</v>
      </c>
      <c r="J174">
        <f t="shared" si="112"/>
        <v>15</v>
      </c>
      <c r="M174">
        <f t="shared" si="113"/>
        <v>4.8192845113568791E-2</v>
      </c>
      <c r="N174">
        <f t="shared" si="114"/>
        <v>-1.5707963250000001</v>
      </c>
      <c r="O174">
        <f t="shared" si="115"/>
        <v>20.766142940964635</v>
      </c>
      <c r="P174">
        <f t="shared" si="116"/>
        <v>1.5226223883003265</v>
      </c>
      <c r="Q174">
        <f t="shared" si="117"/>
        <v>28.755426208046902</v>
      </c>
      <c r="R174">
        <f t="shared" si="118"/>
        <v>1.5360132682947152</v>
      </c>
      <c r="S174">
        <f t="shared" si="119"/>
        <v>0.35747565153977445</v>
      </c>
      <c r="T174">
        <f t="shared" si="120"/>
        <v>-1.2052327892941832</v>
      </c>
      <c r="U174">
        <f t="shared" si="121"/>
        <v>0.9999686874113799</v>
      </c>
      <c r="V174">
        <f t="shared" si="122"/>
        <v>-7.9136277438939112E-3</v>
      </c>
      <c r="X174">
        <f t="shared" si="139"/>
        <v>-2.8897976875851161</v>
      </c>
      <c r="Y174">
        <f t="shared" si="123"/>
        <v>-86.434780905787846</v>
      </c>
      <c r="Z174">
        <f t="shared" si="140"/>
        <v>93.565219094212154</v>
      </c>
      <c r="AC174">
        <v>1</v>
      </c>
      <c r="AD174">
        <f t="shared" si="124"/>
        <v>20.742051312360001</v>
      </c>
      <c r="AE174">
        <f t="shared" si="125"/>
        <v>-9.1228306328366249E-6</v>
      </c>
      <c r="AF174">
        <f t="shared" si="126"/>
        <v>1.1527760069910001E-3</v>
      </c>
      <c r="AG174">
        <f t="shared" si="141"/>
        <v>17985.14102910872</v>
      </c>
      <c r="AH174">
        <f t="shared" si="142"/>
        <v>-1009.8018942593485</v>
      </c>
      <c r="AJ174">
        <f t="shared" si="127"/>
        <v>18000</v>
      </c>
      <c r="AK174">
        <f t="shared" si="128"/>
        <v>47025.872059319998</v>
      </c>
      <c r="AL174">
        <v>1</v>
      </c>
      <c r="AM174">
        <f t="shared" si="129"/>
        <v>28.738032925139997</v>
      </c>
      <c r="AN174">
        <f t="shared" si="143"/>
        <v>1656.1533815343512</v>
      </c>
      <c r="AO174">
        <f t="shared" si="144"/>
        <v>-568.71834829613783</v>
      </c>
      <c r="AQ174">
        <f t="shared" si="130"/>
        <v>0.51017805214019696</v>
      </c>
      <c r="AR174">
        <f t="shared" si="131"/>
        <v>-71.424927299627569</v>
      </c>
      <c r="AT174">
        <f t="shared" si="156"/>
        <v>-62949.402666802744</v>
      </c>
      <c r="AU174">
        <f t="shared" si="157"/>
        <v>-1285102.5692410998</v>
      </c>
      <c r="AV174">
        <f t="shared" si="145"/>
        <v>-1.6197411573639471</v>
      </c>
      <c r="AW174">
        <f t="shared" si="146"/>
        <v>2180.1755539562719</v>
      </c>
      <c r="AX174">
        <f t="shared" si="147"/>
        <v>-129250.24243898576</v>
      </c>
      <c r="AY174">
        <f t="shared" si="155"/>
        <v>-1.553930061968313</v>
      </c>
      <c r="BA174">
        <f t="shared" si="132"/>
        <v>9.9532532747678442</v>
      </c>
      <c r="BB174">
        <f t="shared" si="148"/>
        <v>19.959301109087381</v>
      </c>
      <c r="BC174">
        <f t="shared" si="149"/>
        <v>-6.5811095395634123E-2</v>
      </c>
      <c r="BD174">
        <f t="shared" si="133"/>
        <v>-183.77069801561134</v>
      </c>
      <c r="BF174">
        <f t="shared" si="134"/>
        <v>-3.1763182080237637</v>
      </c>
      <c r="BG174">
        <f t="shared" si="135"/>
        <v>-105.94422360564512</v>
      </c>
      <c r="BH174">
        <f t="shared" si="150"/>
        <v>74.055776394354879</v>
      </c>
      <c r="BI174">
        <f t="shared" si="151"/>
        <v>74.055776394354879</v>
      </c>
      <c r="BJ174">
        <f t="shared" si="136"/>
        <v>0</v>
      </c>
      <c r="BK174">
        <f t="shared" si="152"/>
        <v>0</v>
      </c>
      <c r="BM174">
        <f t="shared" si="153"/>
        <v>-23.135619317111143</v>
      </c>
      <c r="BN174">
        <f t="shared" si="137"/>
        <v>-102.1735255900338</v>
      </c>
      <c r="BQ174" s="66">
        <f t="shared" si="154"/>
        <v>36.861261909372516</v>
      </c>
      <c r="BR174" s="71"/>
      <c r="BS174" s="71"/>
      <c r="BT174" s="71">
        <v>4365.1580000000004</v>
      </c>
      <c r="BU174" s="71">
        <v>3.07782</v>
      </c>
      <c r="BV174" s="71">
        <v>-242.172</v>
      </c>
      <c r="BW174" s="75"/>
      <c r="BY174" s="71"/>
      <c r="BZ174" s="71"/>
      <c r="CA174" s="71"/>
      <c r="CC174" s="71"/>
    </row>
    <row r="175" spans="1:81" x14ac:dyDescent="0.2">
      <c r="A175">
        <f t="shared" si="158"/>
        <v>70500</v>
      </c>
      <c r="B175">
        <f t="shared" si="138"/>
        <v>70.5</v>
      </c>
      <c r="C175">
        <f t="shared" si="107"/>
        <v>4.4979203451940686</v>
      </c>
      <c r="D175">
        <f t="shared" si="108"/>
        <v>1.3465978517881712</v>
      </c>
      <c r="F175">
        <f t="shared" si="109"/>
        <v>1.0253336635323877E-3</v>
      </c>
      <c r="G175">
        <f t="shared" si="110"/>
        <v>1.3183758263294241E-2</v>
      </c>
      <c r="H175">
        <f t="shared" si="111"/>
        <v>-3.1284088917367061</v>
      </c>
      <c r="J175">
        <f t="shared" si="112"/>
        <v>15</v>
      </c>
      <c r="M175">
        <f t="shared" si="113"/>
        <v>4.7851051885812977E-2</v>
      </c>
      <c r="N175">
        <f t="shared" si="114"/>
        <v>-1.5707963250000001</v>
      </c>
      <c r="O175">
        <f t="shared" si="115"/>
        <v>20.914129783848363</v>
      </c>
      <c r="P175">
        <f t="shared" si="116"/>
        <v>1.5229635246823909</v>
      </c>
      <c r="Q175">
        <f t="shared" si="117"/>
        <v>28.960574589004946</v>
      </c>
      <c r="R175">
        <f t="shared" si="118"/>
        <v>1.5362597598377652</v>
      </c>
      <c r="S175">
        <f t="shared" si="119"/>
        <v>0.35526134119590136</v>
      </c>
      <c r="T175">
        <f t="shared" si="120"/>
        <v>-1.2076026954068242</v>
      </c>
      <c r="U175">
        <f t="shared" si="121"/>
        <v>0.99996823851249172</v>
      </c>
      <c r="V175">
        <f t="shared" si="122"/>
        <v>-7.9701512710599592E-3</v>
      </c>
      <c r="X175">
        <f t="shared" si="139"/>
        <v>-2.9471829110476171</v>
      </c>
      <c r="Y175">
        <f t="shared" si="123"/>
        <v>-86.456863489010061</v>
      </c>
      <c r="Z175">
        <f t="shared" si="140"/>
        <v>93.543136510989939</v>
      </c>
      <c r="AC175">
        <v>1</v>
      </c>
      <c r="AD175">
        <f t="shared" si="124"/>
        <v>20.890208821734003</v>
      </c>
      <c r="AE175">
        <f t="shared" si="125"/>
        <v>-9.2536222352767817E-6</v>
      </c>
      <c r="AF175">
        <f t="shared" si="126"/>
        <v>1.16101012132665E-3</v>
      </c>
      <c r="AG175">
        <f t="shared" si="141"/>
        <v>17985.124881587097</v>
      </c>
      <c r="AH175">
        <f t="shared" si="142"/>
        <v>-1004.6661351889368</v>
      </c>
      <c r="AJ175">
        <f t="shared" si="127"/>
        <v>18000</v>
      </c>
      <c r="AK175">
        <f t="shared" si="128"/>
        <v>47361.771145457999</v>
      </c>
      <c r="AL175">
        <v>1</v>
      </c>
      <c r="AM175">
        <f t="shared" si="129"/>
        <v>28.943304588890999</v>
      </c>
      <c r="AN175">
        <f t="shared" si="143"/>
        <v>1655.8740048375892</v>
      </c>
      <c r="AO175">
        <f t="shared" si="144"/>
        <v>-564.69453738311563</v>
      </c>
      <c r="AQ175">
        <f t="shared" si="130"/>
        <v>0.50296750829896386</v>
      </c>
      <c r="AR175">
        <f t="shared" si="131"/>
        <v>-70.918418670153912</v>
      </c>
      <c r="AT175">
        <f t="shared" si="156"/>
        <v>-62203.400150916917</v>
      </c>
      <c r="AU175">
        <f t="shared" si="157"/>
        <v>-1275981.9306100842</v>
      </c>
      <c r="AV175">
        <f t="shared" si="145"/>
        <v>-1.6195072005041424</v>
      </c>
      <c r="AW175">
        <f t="shared" si="146"/>
        <v>2742.6813742942859</v>
      </c>
      <c r="AX175">
        <f t="shared" si="147"/>
        <v>-128314.28888288068</v>
      </c>
      <c r="AY175">
        <f t="shared" si="155"/>
        <v>-1.5494248659703684</v>
      </c>
      <c r="BA175">
        <f t="shared" si="132"/>
        <v>9.9537276933814365</v>
      </c>
      <c r="BB175">
        <f t="shared" si="148"/>
        <v>19.959715109354651</v>
      </c>
      <c r="BC175">
        <f t="shared" si="149"/>
        <v>-7.0082334533773993E-2</v>
      </c>
      <c r="BD175">
        <f t="shared" si="133"/>
        <v>-184.01542199179747</v>
      </c>
      <c r="BF175">
        <f t="shared" si="134"/>
        <v>-3.2409201813838813</v>
      </c>
      <c r="BG175">
        <f t="shared" si="135"/>
        <v>-106.10567458731977</v>
      </c>
      <c r="BH175">
        <f t="shared" si="150"/>
        <v>73.894325412680232</v>
      </c>
      <c r="BI175">
        <f t="shared" si="151"/>
        <v>73.894325412680232</v>
      </c>
      <c r="BJ175">
        <f t="shared" si="136"/>
        <v>0</v>
      </c>
      <c r="BK175">
        <f t="shared" si="152"/>
        <v>0</v>
      </c>
      <c r="BM175">
        <f t="shared" si="153"/>
        <v>-23.200635290738532</v>
      </c>
      <c r="BN175">
        <f t="shared" si="137"/>
        <v>-102.0902525955223</v>
      </c>
      <c r="BQ175" s="66">
        <f t="shared" si="154"/>
        <v>36.861675909639786</v>
      </c>
      <c r="BR175" s="71"/>
      <c r="BS175" s="71"/>
      <c r="BT175" s="71">
        <v>4466.8360000000002</v>
      </c>
      <c r="BU175" s="71">
        <v>2.9233199999999999</v>
      </c>
      <c r="BV175" s="71">
        <v>-240.90300000000002</v>
      </c>
      <c r="BW175" s="75"/>
      <c r="BY175" s="71"/>
      <c r="BZ175" s="71"/>
      <c r="CA175" s="71"/>
      <c r="CC175" s="71"/>
    </row>
    <row r="176" spans="1:81" x14ac:dyDescent="0.2">
      <c r="A176">
        <f t="shared" si="158"/>
        <v>71000</v>
      </c>
      <c r="B176">
        <f t="shared" si="138"/>
        <v>71</v>
      </c>
      <c r="C176">
        <f t="shared" si="107"/>
        <v>4.528248996082854</v>
      </c>
      <c r="D176">
        <f t="shared" si="108"/>
        <v>1.3481248663407155</v>
      </c>
      <c r="F176">
        <f t="shared" si="109"/>
        <v>1.0109297572317151E-3</v>
      </c>
      <c r="G176">
        <f t="shared" si="110"/>
        <v>1.3090735566533424E-2</v>
      </c>
      <c r="H176">
        <f t="shared" si="111"/>
        <v>-3.1285019144334667</v>
      </c>
      <c r="J176">
        <f t="shared" si="112"/>
        <v>15</v>
      </c>
      <c r="M176">
        <f t="shared" si="113"/>
        <v>4.7514072647180494E-2</v>
      </c>
      <c r="N176">
        <f t="shared" si="114"/>
        <v>-1.5707963250000001</v>
      </c>
      <c r="O176">
        <f t="shared" si="115"/>
        <v>21.062119026391876</v>
      </c>
      <c r="P176">
        <f t="shared" si="116"/>
        <v>1.5232998672346101</v>
      </c>
      <c r="Q176">
        <f t="shared" si="117"/>
        <v>29.165724704798357</v>
      </c>
      <c r="R176">
        <f t="shared" si="118"/>
        <v>1.5365027837792864</v>
      </c>
      <c r="S176">
        <f t="shared" si="119"/>
        <v>0.35307234763097189</v>
      </c>
      <c r="T176">
        <f t="shared" si="120"/>
        <v>-1.2099434095004238</v>
      </c>
      <c r="U176">
        <f t="shared" si="121"/>
        <v>0.99996778641920459</v>
      </c>
      <c r="V176">
        <f t="shared" si="122"/>
        <v>-8.026674747297154E-3</v>
      </c>
      <c r="X176">
        <f t="shared" si="139"/>
        <v>-3.0042130778850846</v>
      </c>
      <c r="Y176">
        <f t="shared" si="123"/>
        <v>-86.478858148201894</v>
      </c>
      <c r="Z176">
        <f t="shared" si="140"/>
        <v>93.521141851798106</v>
      </c>
      <c r="AC176">
        <v>1</v>
      </c>
      <c r="AD176">
        <f t="shared" si="124"/>
        <v>21.038366331108001</v>
      </c>
      <c r="AE176">
        <f t="shared" si="125"/>
        <v>-9.3853447388019251E-6</v>
      </c>
      <c r="AF176">
        <f t="shared" si="126"/>
        <v>1.1692442356623001E-3</v>
      </c>
      <c r="AG176">
        <f t="shared" si="141"/>
        <v>17985.1086191658</v>
      </c>
      <c r="AH176">
        <f t="shared" si="142"/>
        <v>-999.61702517491779</v>
      </c>
      <c r="AJ176">
        <f t="shared" si="127"/>
        <v>18000</v>
      </c>
      <c r="AK176">
        <f t="shared" si="128"/>
        <v>47697.670231595999</v>
      </c>
      <c r="AL176">
        <v>1</v>
      </c>
      <c r="AM176">
        <f t="shared" si="129"/>
        <v>29.148576252641998</v>
      </c>
      <c r="AN176">
        <f t="shared" si="143"/>
        <v>1655.6005004061003</v>
      </c>
      <c r="AO176">
        <f t="shared" si="144"/>
        <v>-560.72719840347122</v>
      </c>
      <c r="AQ176">
        <f t="shared" si="130"/>
        <v>0.49590875278948676</v>
      </c>
      <c r="AR176">
        <f t="shared" si="131"/>
        <v>-70.419042896107115</v>
      </c>
      <c r="AT176">
        <f t="shared" si="156"/>
        <v>-61473.101391357566</v>
      </c>
      <c r="AU176">
        <f t="shared" si="157"/>
        <v>-1266989.8541764037</v>
      </c>
      <c r="AV176">
        <f t="shared" si="145"/>
        <v>-1.619277323994168</v>
      </c>
      <c r="AW176">
        <f t="shared" si="146"/>
        <v>3293.3678540418532</v>
      </c>
      <c r="AX176">
        <f t="shared" si="147"/>
        <v>-127392.04739062898</v>
      </c>
      <c r="AY176">
        <f t="shared" si="155"/>
        <v>-1.5449498589675985</v>
      </c>
      <c r="BA176">
        <f t="shared" si="132"/>
        <v>9.9539699422543162</v>
      </c>
      <c r="BB176">
        <f t="shared" si="148"/>
        <v>19.959926499643313</v>
      </c>
      <c r="BC176">
        <f t="shared" si="149"/>
        <v>-7.4327465026569506E-2</v>
      </c>
      <c r="BD176">
        <f t="shared" si="133"/>
        <v>-184.25865005279488</v>
      </c>
      <c r="BF176">
        <f t="shared" si="134"/>
        <v>-3.3052227208553591</v>
      </c>
      <c r="BG176">
        <f t="shared" si="135"/>
        <v>-106.26674096703074</v>
      </c>
      <c r="BH176">
        <f t="shared" si="150"/>
        <v>73.733259032969258</v>
      </c>
      <c r="BI176">
        <f t="shared" si="151"/>
        <v>73.733259032969258</v>
      </c>
      <c r="BJ176">
        <f t="shared" si="136"/>
        <v>0</v>
      </c>
      <c r="BK176">
        <f t="shared" si="152"/>
        <v>0</v>
      </c>
      <c r="BM176">
        <f t="shared" si="153"/>
        <v>-23.265149220498671</v>
      </c>
      <c r="BN176">
        <f t="shared" si="137"/>
        <v>-102.00809091423586</v>
      </c>
      <c r="BQ176" s="66">
        <f t="shared" si="154"/>
        <v>36.861887299928448</v>
      </c>
      <c r="BR176" s="71"/>
      <c r="BS176" s="71"/>
      <c r="BT176" s="71">
        <v>4570.8819999999996</v>
      </c>
      <c r="BU176" s="71">
        <v>2.7266900000000001</v>
      </c>
      <c r="BV176" s="71">
        <v>-241.25200000000001</v>
      </c>
      <c r="BW176" s="75"/>
      <c r="BY176" s="71"/>
      <c r="BZ176" s="71"/>
      <c r="CA176" s="71"/>
      <c r="CC176" s="71"/>
    </row>
    <row r="177" spans="1:81" x14ac:dyDescent="0.2">
      <c r="A177">
        <f t="shared" si="158"/>
        <v>71500</v>
      </c>
      <c r="B177">
        <f t="shared" si="138"/>
        <v>71.5</v>
      </c>
      <c r="C177">
        <f t="shared" si="107"/>
        <v>4.5585880653103885</v>
      </c>
      <c r="D177">
        <f t="shared" si="108"/>
        <v>1.3496315586880649</v>
      </c>
      <c r="F177">
        <f t="shared" si="109"/>
        <v>9.9682734390025055E-4</v>
      </c>
      <c r="G177">
        <f t="shared" si="110"/>
        <v>1.2999017613707496E-2</v>
      </c>
      <c r="H177">
        <f t="shared" si="111"/>
        <v>-3.1285936323862926</v>
      </c>
      <c r="J177">
        <f t="shared" si="112"/>
        <v>15</v>
      </c>
      <c r="M177">
        <f t="shared" si="113"/>
        <v>4.7181806404892522E-2</v>
      </c>
      <c r="N177">
        <f t="shared" si="114"/>
        <v>-1.5707963250000001</v>
      </c>
      <c r="O177">
        <f t="shared" si="115"/>
        <v>21.210110618365768</v>
      </c>
      <c r="P177">
        <f t="shared" si="116"/>
        <v>1.5236315162255953</v>
      </c>
      <c r="Q177">
        <f t="shared" si="117"/>
        <v>29.370876519074635</v>
      </c>
      <c r="R177">
        <f t="shared" si="118"/>
        <v>1.536742412752526</v>
      </c>
      <c r="S177">
        <f t="shared" si="119"/>
        <v>0.3509082770408764</v>
      </c>
      <c r="T177">
        <f t="shared" si="120"/>
        <v>-1.2122554424635295</v>
      </c>
      <c r="U177">
        <f t="shared" si="121"/>
        <v>0.99996733113153158</v>
      </c>
      <c r="V177">
        <f t="shared" si="122"/>
        <v>-8.0831981722443973E-3</v>
      </c>
      <c r="X177">
        <f t="shared" si="139"/>
        <v>-3.0608923972959383</v>
      </c>
      <c r="Y177">
        <f t="shared" si="123"/>
        <v>-86.500762555596893</v>
      </c>
      <c r="Z177">
        <f t="shared" si="140"/>
        <v>93.499237444403107</v>
      </c>
      <c r="AC177">
        <v>1</v>
      </c>
      <c r="AD177">
        <f t="shared" si="124"/>
        <v>21.186523840482003</v>
      </c>
      <c r="AE177">
        <f t="shared" si="125"/>
        <v>-9.5179981434120501E-6</v>
      </c>
      <c r="AF177">
        <f t="shared" si="126"/>
        <v>1.1774783499979501E-3</v>
      </c>
      <c r="AG177">
        <f t="shared" si="141"/>
        <v>17985.09224184545</v>
      </c>
      <c r="AH177">
        <f t="shared" si="142"/>
        <v>-994.65274632779301</v>
      </c>
      <c r="AJ177">
        <f t="shared" si="127"/>
        <v>18000</v>
      </c>
      <c r="AK177">
        <f t="shared" si="128"/>
        <v>48033.569317733993</v>
      </c>
      <c r="AL177">
        <v>1</v>
      </c>
      <c r="AM177">
        <f t="shared" si="129"/>
        <v>29.353847916393001</v>
      </c>
      <c r="AN177">
        <f t="shared" si="143"/>
        <v>1655.3327048749481</v>
      </c>
      <c r="AO177">
        <f t="shared" si="144"/>
        <v>-556.81515219669643</v>
      </c>
      <c r="AQ177">
        <f t="shared" si="130"/>
        <v>0.48899755501222492</v>
      </c>
      <c r="AR177">
        <f t="shared" si="131"/>
        <v>-69.926650366748163</v>
      </c>
      <c r="AT177">
        <f t="shared" si="156"/>
        <v>-60758.06869585767</v>
      </c>
      <c r="AU177">
        <f t="shared" si="157"/>
        <v>-1258123.6397702822</v>
      </c>
      <c r="AV177">
        <f t="shared" si="145"/>
        <v>-1.6190514425311089</v>
      </c>
      <c r="AW177">
        <f t="shared" si="146"/>
        <v>3832.563621798512</v>
      </c>
      <c r="AX177">
        <f t="shared" si="147"/>
        <v>-126483.21655513991</v>
      </c>
      <c r="AY177">
        <f t="shared" si="155"/>
        <v>-1.540504629464015</v>
      </c>
      <c r="BA177">
        <f t="shared" si="132"/>
        <v>9.953984844750515</v>
      </c>
      <c r="BB177">
        <f t="shared" si="148"/>
        <v>19.959939503634804</v>
      </c>
      <c r="BC177">
        <f t="shared" si="149"/>
        <v>-7.8546813067093879E-2</v>
      </c>
      <c r="BD177">
        <f t="shared" si="133"/>
        <v>-184.50040088808996</v>
      </c>
      <c r="BF177">
        <f t="shared" si="134"/>
        <v>-3.3692294805339111</v>
      </c>
      <c r="BG177">
        <f t="shared" si="135"/>
        <v>-106.42741974130792</v>
      </c>
      <c r="BH177">
        <f t="shared" si="150"/>
        <v>73.572580258692085</v>
      </c>
      <c r="BI177">
        <f t="shared" si="151"/>
        <v>73.572580258692085</v>
      </c>
      <c r="BJ177">
        <f t="shared" si="136"/>
        <v>0</v>
      </c>
      <c r="BK177">
        <f t="shared" si="152"/>
        <v>0</v>
      </c>
      <c r="BM177">
        <f t="shared" si="153"/>
        <v>-23.329168984168717</v>
      </c>
      <c r="BN177">
        <f t="shared" si="137"/>
        <v>-101.92701885321796</v>
      </c>
      <c r="BQ177" s="66">
        <f t="shared" si="154"/>
        <v>36.861900303919938</v>
      </c>
      <c r="BR177" s="71"/>
      <c r="BS177" s="71"/>
      <c r="BT177" s="71">
        <v>4677.3509999999997</v>
      </c>
      <c r="BU177" s="71">
        <v>2.54392</v>
      </c>
      <c r="BV177" s="71">
        <v>-240.63800000000001</v>
      </c>
      <c r="BW177" s="75"/>
      <c r="BY177" s="71"/>
      <c r="BZ177" s="71"/>
      <c r="CA177" s="71"/>
      <c r="CC177" s="71"/>
    </row>
    <row r="178" spans="1:81" x14ac:dyDescent="0.2">
      <c r="A178">
        <f t="shared" si="158"/>
        <v>72000</v>
      </c>
      <c r="B178">
        <f t="shared" si="138"/>
        <v>72</v>
      </c>
      <c r="C178">
        <f t="shared" si="107"/>
        <v>4.5889373462388354</v>
      </c>
      <c r="D178">
        <f t="shared" si="108"/>
        <v>1.3511183251280248</v>
      </c>
      <c r="F178">
        <f t="shared" si="109"/>
        <v>9.8301806516658632E-4</v>
      </c>
      <c r="G178">
        <f t="shared" si="110"/>
        <v>1.2908577120043497E-2</v>
      </c>
      <c r="H178">
        <f t="shared" si="111"/>
        <v>-3.1286840728799565</v>
      </c>
      <c r="J178">
        <f t="shared" si="112"/>
        <v>15</v>
      </c>
      <c r="M178">
        <f t="shared" si="113"/>
        <v>4.685415497152521E-2</v>
      </c>
      <c r="N178">
        <f t="shared" si="114"/>
        <v>-1.5707963250000001</v>
      </c>
      <c r="O178">
        <f t="shared" si="115"/>
        <v>21.358104510931991</v>
      </c>
      <c r="P178">
        <f t="shared" si="116"/>
        <v>1.5239585691490423</v>
      </c>
      <c r="Q178">
        <f t="shared" si="117"/>
        <v>29.576029996489599</v>
      </c>
      <c r="R178">
        <f t="shared" si="118"/>
        <v>1.5369787173770408</v>
      </c>
      <c r="S178">
        <f t="shared" si="119"/>
        <v>0.34876874272278352</v>
      </c>
      <c r="T178">
        <f t="shared" si="120"/>
        <v>-1.2145392939678459</v>
      </c>
      <c r="U178">
        <f t="shared" si="121"/>
        <v>0.99996687264948569</v>
      </c>
      <c r="V178">
        <f t="shared" si="122"/>
        <v>-8.1397215455405788E-3</v>
      </c>
      <c r="X178">
        <f t="shared" si="139"/>
        <v>-3.117225003976611</v>
      </c>
      <c r="Y178">
        <f t="shared" si="123"/>
        <v>-86.522574565185053</v>
      </c>
      <c r="Z178">
        <f t="shared" si="140"/>
        <v>93.477425434814947</v>
      </c>
      <c r="AC178">
        <v>1</v>
      </c>
      <c r="AD178">
        <f t="shared" si="124"/>
        <v>21.334681349856002</v>
      </c>
      <c r="AE178">
        <f t="shared" si="125"/>
        <v>-9.6515824491071567E-6</v>
      </c>
      <c r="AF178">
        <f t="shared" si="126"/>
        <v>1.1857124643336E-3</v>
      </c>
      <c r="AG178">
        <f t="shared" si="141"/>
        <v>17985.075749626681</v>
      </c>
      <c r="AH178">
        <f t="shared" si="142"/>
        <v>-989.7715312544542</v>
      </c>
      <c r="AJ178">
        <f t="shared" si="127"/>
        <v>18000</v>
      </c>
      <c r="AK178">
        <f t="shared" si="128"/>
        <v>48369.468403871993</v>
      </c>
      <c r="AL178">
        <v>1</v>
      </c>
      <c r="AM178">
        <f t="shared" si="129"/>
        <v>29.559119580143999</v>
      </c>
      <c r="AN178">
        <f t="shared" si="143"/>
        <v>1655.0704605187573</v>
      </c>
      <c r="AO178">
        <f t="shared" si="144"/>
        <v>-552.95725216595292</v>
      </c>
      <c r="AQ178">
        <f t="shared" si="130"/>
        <v>0.48222983073732939</v>
      </c>
      <c r="AR178">
        <f t="shared" si="131"/>
        <v>-69.441095626175439</v>
      </c>
      <c r="AT178">
        <f t="shared" si="156"/>
        <v>-60057.879515366127</v>
      </c>
      <c r="AU178">
        <f t="shared" si="157"/>
        <v>-1249380.6623318209</v>
      </c>
      <c r="AV178">
        <f t="shared" si="145"/>
        <v>-1.6188294731712758</v>
      </c>
      <c r="AW178">
        <f t="shared" si="146"/>
        <v>4360.5859687013981</v>
      </c>
      <c r="AX178">
        <f t="shared" si="147"/>
        <v>-125587.50381276121</v>
      </c>
      <c r="AY178">
        <f t="shared" si="155"/>
        <v>-1.5360887742560243</v>
      </c>
      <c r="BA178">
        <f t="shared" si="132"/>
        <v>9.9537771042292</v>
      </c>
      <c r="BB178">
        <f t="shared" si="148"/>
        <v>19.959758226478066</v>
      </c>
      <c r="BC178">
        <f t="shared" si="149"/>
        <v>-8.2740698915251487E-2</v>
      </c>
      <c r="BD178">
        <f t="shared" si="133"/>
        <v>-184.74069284722361</v>
      </c>
      <c r="BF178">
        <f t="shared" si="134"/>
        <v>-3.4329440471929957</v>
      </c>
      <c r="BG178">
        <f t="shared" si="135"/>
        <v>-106.58770811680277</v>
      </c>
      <c r="BH178">
        <f t="shared" si="150"/>
        <v>73.412291883197227</v>
      </c>
      <c r="BI178">
        <f t="shared" si="151"/>
        <v>73.412291883197227</v>
      </c>
      <c r="BJ178">
        <f t="shared" si="136"/>
        <v>0</v>
      </c>
      <c r="BK178">
        <f t="shared" si="152"/>
        <v>0</v>
      </c>
      <c r="BM178">
        <f t="shared" si="153"/>
        <v>-23.392702273671059</v>
      </c>
      <c r="BN178">
        <f t="shared" si="137"/>
        <v>-101.84701526957917</v>
      </c>
      <c r="BQ178" s="66">
        <f t="shared" si="154"/>
        <v>36.861719026763204</v>
      </c>
      <c r="BR178" s="71"/>
      <c r="BS178" s="71"/>
      <c r="BT178" s="71">
        <v>4786.3010000000004</v>
      </c>
      <c r="BU178" s="71">
        <v>2.5307499999999998</v>
      </c>
      <c r="BV178" s="71">
        <v>-240.03100000000001</v>
      </c>
      <c r="BW178" s="75"/>
      <c r="BY178" s="71"/>
      <c r="BZ178" s="71"/>
      <c r="CA178" s="71"/>
      <c r="CC178" s="71"/>
    </row>
    <row r="179" spans="1:81" x14ac:dyDescent="0.2">
      <c r="A179">
        <f t="shared" si="158"/>
        <v>72500</v>
      </c>
      <c r="B179">
        <f t="shared" si="138"/>
        <v>72.5</v>
      </c>
      <c r="C179">
        <f t="shared" si="107"/>
        <v>4.6192966375922451</v>
      </c>
      <c r="D179">
        <f t="shared" si="108"/>
        <v>1.3525855518977341</v>
      </c>
      <c r="F179">
        <f t="shared" si="109"/>
        <v>9.6949385040113697E-4</v>
      </c>
      <c r="G179">
        <f t="shared" si="110"/>
        <v>1.2819387556959619E-2</v>
      </c>
      <c r="H179">
        <f t="shared" si="111"/>
        <v>-3.1287732624430404</v>
      </c>
      <c r="J179">
        <f t="shared" si="112"/>
        <v>15</v>
      </c>
      <c r="M179">
        <f t="shared" si="113"/>
        <v>4.6531022868273313E-2</v>
      </c>
      <c r="N179">
        <f t="shared" si="114"/>
        <v>-1.5707963250000001</v>
      </c>
      <c r="O179">
        <f t="shared" si="115"/>
        <v>21.506100656596086</v>
      </c>
      <c r="P179">
        <f t="shared" si="116"/>
        <v>1.5242811208189966</v>
      </c>
      <c r="Q179">
        <f t="shared" si="117"/>
        <v>29.781185102672687</v>
      </c>
      <c r="R179">
        <f t="shared" si="118"/>
        <v>1.5372117663279745</v>
      </c>
      <c r="S179">
        <f t="shared" si="119"/>
        <v>0.34665336495257149</v>
      </c>
      <c r="T179">
        <f t="shared" si="120"/>
        <v>-1.2167954527541531</v>
      </c>
      <c r="U179">
        <f t="shared" si="121"/>
        <v>0.99996641097308037</v>
      </c>
      <c r="V179">
        <f t="shared" si="122"/>
        <v>-8.1962448668246035E-3</v>
      </c>
      <c r="X179">
        <f t="shared" si="139"/>
        <v>-3.1732149599790542</v>
      </c>
      <c r="Y179">
        <f t="shared" si="123"/>
        <v>-86.544292202706899</v>
      </c>
      <c r="Z179">
        <f t="shared" si="140"/>
        <v>93.455707797293101</v>
      </c>
      <c r="AC179">
        <v>1</v>
      </c>
      <c r="AD179">
        <f t="shared" si="124"/>
        <v>21.482838859230004</v>
      </c>
      <c r="AE179">
        <f t="shared" si="125"/>
        <v>-9.7860976558872482E-6</v>
      </c>
      <c r="AF179">
        <f t="shared" si="126"/>
        <v>1.1939465786692501E-3</v>
      </c>
      <c r="AG179">
        <f t="shared" si="141"/>
        <v>17985.059142510119</v>
      </c>
      <c r="AH179">
        <f t="shared" si="142"/>
        <v>-984.97166131692654</v>
      </c>
      <c r="AJ179">
        <f t="shared" si="127"/>
        <v>18000</v>
      </c>
      <c r="AK179">
        <f t="shared" si="128"/>
        <v>48705.367490009994</v>
      </c>
      <c r="AL179">
        <v>1</v>
      </c>
      <c r="AM179">
        <f t="shared" si="129"/>
        <v>29.764391243895002</v>
      </c>
      <c r="AN179">
        <f t="shared" si="143"/>
        <v>1654.8136150197797</v>
      </c>
      <c r="AO179">
        <f t="shared" si="144"/>
        <v>-549.15238316297814</v>
      </c>
      <c r="AQ179">
        <f t="shared" si="130"/>
        <v>0.47560163606962808</v>
      </c>
      <c r="AR179">
        <f t="shared" si="131"/>
        <v>-68.962237230096065</v>
      </c>
      <c r="AT179">
        <f t="shared" si="156"/>
        <v>-59372.125819672889</v>
      </c>
      <c r="AU179">
        <f t="shared" si="157"/>
        <v>-1240758.3693166957</v>
      </c>
      <c r="AV179">
        <f t="shared" si="145"/>
        <v>-1.6186113352492726</v>
      </c>
      <c r="AW179">
        <f t="shared" si="146"/>
        <v>4877.7413143446392</v>
      </c>
      <c r="AX179">
        <f t="shared" si="147"/>
        <v>-124704.62511909768</v>
      </c>
      <c r="AY179">
        <f t="shared" si="155"/>
        <v>-1.5317018982477786</v>
      </c>
      <c r="BA179">
        <f t="shared" si="132"/>
        <v>9.9533513077019595</v>
      </c>
      <c r="BB179">
        <f t="shared" si="148"/>
        <v>19.959386658910113</v>
      </c>
      <c r="BC179">
        <f t="shared" si="149"/>
        <v>-8.6909437001494005E-2</v>
      </c>
      <c r="BD179">
        <f t="shared" si="133"/>
        <v>-184.97954394573367</v>
      </c>
      <c r="BF179">
        <f t="shared" si="134"/>
        <v>-3.4963699419653298</v>
      </c>
      <c r="BG179">
        <f t="shared" si="135"/>
        <v>-106.74760349927099</v>
      </c>
      <c r="BH179">
        <f t="shared" si="150"/>
        <v>73.252396500729006</v>
      </c>
      <c r="BI179">
        <f t="shared" si="151"/>
        <v>73.252396500729006</v>
      </c>
      <c r="BJ179">
        <f t="shared" si="136"/>
        <v>0</v>
      </c>
      <c r="BK179">
        <f t="shared" si="152"/>
        <v>0</v>
      </c>
      <c r="BM179">
        <f t="shared" si="153"/>
        <v>-23.455756600875443</v>
      </c>
      <c r="BN179">
        <f t="shared" si="137"/>
        <v>-101.76805955353731</v>
      </c>
      <c r="BQ179" s="66">
        <f t="shared" si="154"/>
        <v>36.861347459195251</v>
      </c>
      <c r="BR179" s="71"/>
      <c r="BS179" s="71"/>
      <c r="BT179" s="71">
        <v>4897.7879999999996</v>
      </c>
      <c r="BU179" s="71">
        <v>2.1795599999999999</v>
      </c>
      <c r="BV179" s="71">
        <v>-239.48099999999999</v>
      </c>
      <c r="BW179" s="75"/>
      <c r="BY179" s="71"/>
      <c r="BZ179" s="71"/>
      <c r="CA179" s="71"/>
      <c r="CC179" s="71"/>
    </row>
    <row r="180" spans="1:81" x14ac:dyDescent="0.2">
      <c r="A180">
        <f t="shared" si="158"/>
        <v>73000</v>
      </c>
      <c r="B180">
        <f t="shared" si="138"/>
        <v>73</v>
      </c>
      <c r="C180">
        <f t="shared" si="107"/>
        <v>4.6496657432859401</v>
      </c>
      <c r="D180">
        <f t="shared" si="108"/>
        <v>1.3540336154850903</v>
      </c>
      <c r="F180">
        <f t="shared" si="109"/>
        <v>9.5624690490722143E-4</v>
      </c>
      <c r="G180">
        <f t="shared" si="110"/>
        <v>1.2731423126025307E-2</v>
      </c>
      <c r="H180">
        <f t="shared" si="111"/>
        <v>-3.1288612268739748</v>
      </c>
      <c r="J180">
        <f t="shared" si="112"/>
        <v>15</v>
      </c>
      <c r="M180">
        <f t="shared" si="113"/>
        <v>4.621231723218925E-2</v>
      </c>
      <c r="N180">
        <f t="shared" si="114"/>
        <v>-1.5707963250000001</v>
      </c>
      <c r="O180">
        <f t="shared" si="115"/>
        <v>21.654099009161278</v>
      </c>
      <c r="P180">
        <f t="shared" si="116"/>
        <v>1.5245992634612235</v>
      </c>
      <c r="Q180">
        <f t="shared" si="117"/>
        <v>29.986341804193664</v>
      </c>
      <c r="R180">
        <f t="shared" si="118"/>
        <v>1.537441626402497</v>
      </c>
      <c r="S180">
        <f t="shared" si="119"/>
        <v>0.34456177086301976</v>
      </c>
      <c r="T180">
        <f t="shared" si="120"/>
        <v>-1.2190243969103138</v>
      </c>
      <c r="U180">
        <f t="shared" si="121"/>
        <v>0.9999659461023287</v>
      </c>
      <c r="V180">
        <f t="shared" si="122"/>
        <v>-8.2527681357353715E-3</v>
      </c>
      <c r="X180">
        <f t="shared" si="139"/>
        <v>-3.2288662565034691</v>
      </c>
      <c r="Y180">
        <f t="shared" si="123"/>
        <v>-86.56591365618911</v>
      </c>
      <c r="Z180">
        <f t="shared" si="140"/>
        <v>93.43408634381089</v>
      </c>
      <c r="AC180">
        <v>1</v>
      </c>
      <c r="AD180">
        <f t="shared" si="124"/>
        <v>21.630996368604002</v>
      </c>
      <c r="AE180">
        <f t="shared" si="125"/>
        <v>-9.9215437637523231E-6</v>
      </c>
      <c r="AF180">
        <f t="shared" si="126"/>
        <v>1.2021806930049E-3</v>
      </c>
      <c r="AG180">
        <f t="shared" si="141"/>
        <v>17985.042420496407</v>
      </c>
      <c r="AH180">
        <f t="shared" si="142"/>
        <v>-980.25146496267507</v>
      </c>
      <c r="AJ180">
        <f t="shared" si="127"/>
        <v>18000</v>
      </c>
      <c r="AK180">
        <f t="shared" si="128"/>
        <v>49041.266576147995</v>
      </c>
      <c r="AL180">
        <v>1</v>
      </c>
      <c r="AM180">
        <f t="shared" si="129"/>
        <v>29.969662907645997</v>
      </c>
      <c r="AN180">
        <f t="shared" si="143"/>
        <v>1654.5620212470146</v>
      </c>
      <c r="AO180">
        <f t="shared" si="144"/>
        <v>-545.39946041845087</v>
      </c>
      <c r="AQ180">
        <f t="shared" si="130"/>
        <v>0.46910916170192801</v>
      </c>
      <c r="AR180">
        <f t="shared" si="131"/>
        <v>-68.489937608481497</v>
      </c>
      <c r="AT180">
        <f t="shared" si="156"/>
        <v>-58700.413502863514</v>
      </c>
      <c r="AU180">
        <f t="shared" si="157"/>
        <v>-1232254.2782086779</v>
      </c>
      <c r="AV180">
        <f t="shared" si="145"/>
        <v>-1.6183969503003699</v>
      </c>
      <c r="AW180">
        <f t="shared" si="146"/>
        <v>5384.3256505228346</v>
      </c>
      <c r="AX180">
        <f t="shared" si="147"/>
        <v>-123834.30463906257</v>
      </c>
      <c r="AY180">
        <f t="shared" si="155"/>
        <v>-1.5273436142701231</v>
      </c>
      <c r="BA180">
        <f t="shared" si="132"/>
        <v>9.9527119293666377</v>
      </c>
      <c r="BB180">
        <f t="shared" si="148"/>
        <v>19.958828681213234</v>
      </c>
      <c r="BC180">
        <f t="shared" si="149"/>
        <v>-9.105333603024679E-2</v>
      </c>
      <c r="BD180">
        <f t="shared" si="133"/>
        <v>-185.21697187108089</v>
      </c>
      <c r="BF180">
        <f t="shared" si="134"/>
        <v>-3.5595106219645296</v>
      </c>
      <c r="BG180">
        <f t="shared" si="135"/>
        <v>-106.90710348314687</v>
      </c>
      <c r="BH180">
        <f t="shared" si="150"/>
        <v>73.092896516853131</v>
      </c>
      <c r="BI180">
        <f t="shared" si="151"/>
        <v>73.092896516853131</v>
      </c>
      <c r="BJ180">
        <f t="shared" si="136"/>
        <v>0</v>
      </c>
      <c r="BK180">
        <f t="shared" si="152"/>
        <v>0</v>
      </c>
      <c r="BM180">
        <f t="shared" si="153"/>
        <v>-23.518339303177761</v>
      </c>
      <c r="BN180">
        <f t="shared" si="137"/>
        <v>-101.690131612066</v>
      </c>
      <c r="BQ180" s="66">
        <f t="shared" si="154"/>
        <v>36.860789481498372</v>
      </c>
      <c r="BR180" s="71"/>
      <c r="BS180" s="71"/>
      <c r="BT180" s="71">
        <v>5011.8720000000003</v>
      </c>
      <c r="BU180" s="71">
        <v>2.08934</v>
      </c>
      <c r="BV180" s="71">
        <v>-238.50700000000001</v>
      </c>
      <c r="BW180" s="75"/>
      <c r="BY180" s="71"/>
      <c r="BZ180" s="71"/>
      <c r="CA180" s="71"/>
      <c r="CC180" s="71"/>
    </row>
    <row r="181" spans="1:81" x14ac:dyDescent="0.2">
      <c r="A181">
        <f t="shared" si="158"/>
        <v>73500</v>
      </c>
      <c r="B181">
        <f t="shared" si="138"/>
        <v>73.5</v>
      </c>
      <c r="C181">
        <f t="shared" si="107"/>
        <v>4.6800444722622938</v>
      </c>
      <c r="D181">
        <f t="shared" si="108"/>
        <v>1.355462882928903</v>
      </c>
      <c r="F181">
        <f t="shared" si="109"/>
        <v>9.4326969867387174E-4</v>
      </c>
      <c r="G181">
        <f t="shared" si="110"/>
        <v>1.2644658733990928E-2</v>
      </c>
      <c r="H181">
        <f t="shared" si="111"/>
        <v>-3.1289479912660094</v>
      </c>
      <c r="J181">
        <f t="shared" si="112"/>
        <v>15</v>
      </c>
      <c r="M181">
        <f t="shared" si="113"/>
        <v>4.5897947727208371E-2</v>
      </c>
      <c r="N181">
        <f t="shared" si="114"/>
        <v>-1.5707963250000001</v>
      </c>
      <c r="O181">
        <f t="shared" si="115"/>
        <v>21.802099523684511</v>
      </c>
      <c r="P181">
        <f t="shared" si="116"/>
        <v>1.5249130868008676</v>
      </c>
      <c r="Q181">
        <f t="shared" si="117"/>
        <v>30.191500068530711</v>
      </c>
      <c r="R181">
        <f t="shared" si="118"/>
        <v>1.5376683625835383</v>
      </c>
      <c r="S181">
        <f t="shared" si="119"/>
        <v>0.34249359432288223</v>
      </c>
      <c r="T181">
        <f t="shared" si="120"/>
        <v>-1.2212265941415834</v>
      </c>
      <c r="U181">
        <f t="shared" si="121"/>
        <v>0.999965478037244</v>
      </c>
      <c r="V181">
        <f t="shared" si="122"/>
        <v>-8.3092913519117826E-3</v>
      </c>
      <c r="X181">
        <f t="shared" si="139"/>
        <v>-3.2841828156292596</v>
      </c>
      <c r="Y181">
        <f t="shared" si="123"/>
        <v>-86.587437266991046</v>
      </c>
      <c r="Z181">
        <f t="shared" si="140"/>
        <v>93.412562733008954</v>
      </c>
      <c r="AC181">
        <v>1</v>
      </c>
      <c r="AD181">
        <f t="shared" si="124"/>
        <v>21.779153877978001</v>
      </c>
      <c r="AE181">
        <f t="shared" si="125"/>
        <v>-1.0057920772702378E-5</v>
      </c>
      <c r="AF181">
        <f t="shared" si="126"/>
        <v>1.21041480734055E-3</v>
      </c>
      <c r="AG181">
        <f t="shared" si="141"/>
        <v>17985.025583586175</v>
      </c>
      <c r="AH181">
        <f t="shared" si="142"/>
        <v>-975.60931612305626</v>
      </c>
      <c r="AJ181">
        <f t="shared" si="127"/>
        <v>18000</v>
      </c>
      <c r="AK181">
        <f t="shared" si="128"/>
        <v>49377.165662285995</v>
      </c>
      <c r="AL181">
        <v>1</v>
      </c>
      <c r="AM181">
        <f t="shared" si="129"/>
        <v>30.174934571396999</v>
      </c>
      <c r="AN181">
        <f t="shared" si="143"/>
        <v>1654.3155370457721</v>
      </c>
      <c r="AO181">
        <f t="shared" si="144"/>
        <v>-541.69742851566605</v>
      </c>
      <c r="AQ181">
        <f t="shared" si="130"/>
        <v>0.46274872744099954</v>
      </c>
      <c r="AR181">
        <f t="shared" si="131"/>
        <v>-68.024062933826926</v>
      </c>
      <c r="AT181">
        <f t="shared" si="156"/>
        <v>-58042.36181698431</v>
      </c>
      <c r="AU181">
        <f t="shared" si="157"/>
        <v>-1223865.9741338689</v>
      </c>
      <c r="AV181">
        <f t="shared" si="145"/>
        <v>-1.6181862419860285</v>
      </c>
      <c r="AW181">
        <f t="shared" si="146"/>
        <v>5880.6249639964981</v>
      </c>
      <c r="AX181">
        <f t="shared" si="147"/>
        <v>-122976.27445043411</v>
      </c>
      <c r="AY181">
        <f t="shared" si="155"/>
        <v>-1.5230135429031266</v>
      </c>
      <c r="BA181">
        <f t="shared" si="132"/>
        <v>9.9518633340219171</v>
      </c>
      <c r="BB181">
        <f t="shared" si="148"/>
        <v>19.95808806701589</v>
      </c>
      <c r="BC181">
        <f t="shared" si="149"/>
        <v>-9.5172699082901824E-2</v>
      </c>
      <c r="BD181">
        <f t="shared" si="133"/>
        <v>-185.45299398854982</v>
      </c>
      <c r="BF181">
        <f t="shared" si="134"/>
        <v>-3.6223694818498324</v>
      </c>
      <c r="BG181">
        <f t="shared" si="135"/>
        <v>-107.0662058416776</v>
      </c>
      <c r="BH181">
        <f t="shared" si="150"/>
        <v>72.933794158322399</v>
      </c>
      <c r="BI181">
        <f t="shared" si="151"/>
        <v>72.933794158322399</v>
      </c>
      <c r="BJ181">
        <f t="shared" si="136"/>
        <v>0</v>
      </c>
      <c r="BK181">
        <f t="shared" si="152"/>
        <v>0</v>
      </c>
      <c r="BM181">
        <f t="shared" si="153"/>
        <v>-23.580457548865724</v>
      </c>
      <c r="BN181">
        <f t="shared" si="137"/>
        <v>-101.61321185312778</v>
      </c>
      <c r="BQ181" s="66">
        <f t="shared" si="154"/>
        <v>36.860048867301025</v>
      </c>
      <c r="BR181" s="71"/>
      <c r="BS181" s="71"/>
      <c r="BT181" s="71">
        <v>5128.6139999999996</v>
      </c>
      <c r="BU181" s="71">
        <v>1.7954699999999999</v>
      </c>
      <c r="BV181" s="71">
        <v>-237.881</v>
      </c>
      <c r="BW181" s="75"/>
      <c r="BY181" s="71"/>
      <c r="BZ181" s="71"/>
      <c r="CA181" s="71"/>
      <c r="CC181" s="71"/>
    </row>
    <row r="182" spans="1:81" x14ac:dyDescent="0.2">
      <c r="A182">
        <f t="shared" si="158"/>
        <v>74000</v>
      </c>
      <c r="B182">
        <f t="shared" si="138"/>
        <v>74</v>
      </c>
      <c r="C182">
        <f t="shared" si="107"/>
        <v>4.7104326383326178</v>
      </c>
      <c r="D182">
        <f t="shared" si="108"/>
        <v>1.3568737121082459</v>
      </c>
      <c r="F182">
        <f t="shared" si="109"/>
        <v>9.3055495566003125E-4</v>
      </c>
      <c r="G182">
        <f t="shared" si="110"/>
        <v>1.2559069968836115E-2</v>
      </c>
      <c r="H182">
        <f t="shared" si="111"/>
        <v>-3.1290335800311642</v>
      </c>
      <c r="J182">
        <f t="shared" si="112"/>
        <v>15</v>
      </c>
      <c r="M182">
        <f t="shared" si="113"/>
        <v>4.5587826458781289E-2</v>
      </c>
      <c r="N182">
        <f t="shared" si="114"/>
        <v>-1.5707963250000001</v>
      </c>
      <c r="O182">
        <f t="shared" si="115"/>
        <v>21.950102156434188</v>
      </c>
      <c r="P182">
        <f t="shared" si="116"/>
        <v>1.5252226781465761</v>
      </c>
      <c r="Q182">
        <f t="shared" si="117"/>
        <v>30.396659864039759</v>
      </c>
      <c r="R182">
        <f t="shared" si="118"/>
        <v>1.5378920381009447</v>
      </c>
      <c r="S182">
        <f t="shared" si="119"/>
        <v>0.34044847581695115</v>
      </c>
      <c r="T182">
        <f t="shared" si="120"/>
        <v>-1.2234025020334374</v>
      </c>
      <c r="U182">
        <f t="shared" si="121"/>
        <v>0.99996500677783984</v>
      </c>
      <c r="V182">
        <f t="shared" si="122"/>
        <v>-8.3658145149927456E-3</v>
      </c>
      <c r="X182">
        <f t="shared" si="139"/>
        <v>-3.3391684919871718</v>
      </c>
      <c r="Y182">
        <f t="shared" si="123"/>
        <v>-86.608861521333452</v>
      </c>
      <c r="Z182">
        <f t="shared" si="140"/>
        <v>93.391138478666548</v>
      </c>
      <c r="AC182">
        <v>1</v>
      </c>
      <c r="AD182">
        <f t="shared" si="124"/>
        <v>21.927311387352002</v>
      </c>
      <c r="AE182">
        <f t="shared" si="125"/>
        <v>-1.0195228682737419E-5</v>
      </c>
      <c r="AF182">
        <f t="shared" si="126"/>
        <v>1.2186489216762001E-3</v>
      </c>
      <c r="AG182">
        <f t="shared" si="141"/>
        <v>17985.008631780078</v>
      </c>
      <c r="AH182">
        <f t="shared" si="142"/>
        <v>-971.04363267670306</v>
      </c>
      <c r="AJ182">
        <f t="shared" si="127"/>
        <v>18000</v>
      </c>
      <c r="AK182">
        <f t="shared" si="128"/>
        <v>49713.064748423996</v>
      </c>
      <c r="AL182">
        <v>1</v>
      </c>
      <c r="AM182">
        <f t="shared" si="129"/>
        <v>30.380206235147998</v>
      </c>
      <c r="AN182">
        <f t="shared" si="143"/>
        <v>1654.0740250371343</v>
      </c>
      <c r="AO182">
        <f t="shared" si="144"/>
        <v>-538.04526040549558</v>
      </c>
      <c r="AQ182">
        <f t="shared" si="130"/>
        <v>0.45651677699155446</v>
      </c>
      <c r="AR182">
        <f t="shared" si="131"/>
        <v>-67.564482994750051</v>
      </c>
      <c r="AT182">
        <f t="shared" si="156"/>
        <v>-57397.602832399883</v>
      </c>
      <c r="AU182">
        <f t="shared" si="157"/>
        <v>-1215591.1075718456</v>
      </c>
      <c r="AV182">
        <f t="shared" si="145"/>
        <v>-1.6179791360224245</v>
      </c>
      <c r="AW182">
        <f t="shared" si="146"/>
        <v>6366.9156394042102</v>
      </c>
      <c r="AX182">
        <f t="shared" si="147"/>
        <v>-122130.27426023426</v>
      </c>
      <c r="AY182">
        <f t="shared" si="155"/>
        <v>-1.5187113123021905</v>
      </c>
      <c r="BA182">
        <f t="shared" si="132"/>
        <v>9.9508097803668747</v>
      </c>
      <c r="BB182">
        <f t="shared" si="148"/>
        <v>19.957168486944266</v>
      </c>
      <c r="BC182">
        <f t="shared" si="149"/>
        <v>-9.9267823720234016E-2</v>
      </c>
      <c r="BD182">
        <f t="shared" si="133"/>
        <v>-185.68762734711711</v>
      </c>
      <c r="BF182">
        <f t="shared" si="134"/>
        <v>-3.6849498553367117</v>
      </c>
      <c r="BG182">
        <f t="shared" si="135"/>
        <v>-107.22490851758498</v>
      </c>
      <c r="BH182">
        <f t="shared" si="150"/>
        <v>72.775091482415021</v>
      </c>
      <c r="BI182">
        <f t="shared" si="151"/>
        <v>72.775091482415021</v>
      </c>
      <c r="BJ182">
        <f t="shared" si="136"/>
        <v>0</v>
      </c>
      <c r="BK182">
        <f t="shared" si="152"/>
        <v>0</v>
      </c>
      <c r="BM182">
        <f t="shared" si="153"/>
        <v>-23.642118342280977</v>
      </c>
      <c r="BN182">
        <f t="shared" si="137"/>
        <v>-101.53728117046788</v>
      </c>
      <c r="BQ182" s="66">
        <f t="shared" si="154"/>
        <v>36.859129287229401</v>
      </c>
      <c r="BR182" s="71"/>
      <c r="BS182" s="71"/>
      <c r="BT182" s="71">
        <v>5248.0749999999998</v>
      </c>
      <c r="BU182" s="71">
        <v>1.6024099999999999</v>
      </c>
      <c r="BV182" s="71">
        <v>-238.28</v>
      </c>
      <c r="BW182" s="75"/>
      <c r="BY182" s="71"/>
      <c r="BZ182" s="71"/>
      <c r="CA182" s="71"/>
      <c r="CC182" s="71"/>
    </row>
    <row r="183" spans="1:81" x14ac:dyDescent="0.2">
      <c r="A183">
        <f t="shared" si="158"/>
        <v>74500</v>
      </c>
      <c r="B183">
        <f t="shared" si="138"/>
        <v>74.5</v>
      </c>
      <c r="C183">
        <f t="shared" si="107"/>
        <v>4.7408300600249111</v>
      </c>
      <c r="D183">
        <f t="shared" si="108"/>
        <v>1.3582664520214429</v>
      </c>
      <c r="F183">
        <f t="shared" si="109"/>
        <v>9.180956435816313E-4</v>
      </c>
      <c r="G183">
        <f t="shared" si="110"/>
        <v>1.2474633076788581E-2</v>
      </c>
      <c r="H183">
        <f t="shared" si="111"/>
        <v>-3.1291180169232118</v>
      </c>
      <c r="J183">
        <f t="shared" si="112"/>
        <v>15</v>
      </c>
      <c r="M183">
        <f t="shared" si="113"/>
        <v>4.5281867891943835E-2</v>
      </c>
      <c r="N183">
        <f t="shared" si="114"/>
        <v>-1.5707963250000001</v>
      </c>
      <c r="O183">
        <f t="shared" si="115"/>
        <v>22.09810686484969</v>
      </c>
      <c r="P183">
        <f t="shared" si="116"/>
        <v>1.5255281224712514</v>
      </c>
      <c r="Q183">
        <f t="shared" si="117"/>
        <v>30.601821159925095</v>
      </c>
      <c r="R183">
        <f t="shared" si="118"/>
        <v>1.5381127144901803</v>
      </c>
      <c r="S183">
        <f t="shared" si="119"/>
        <v>0.33842606232720979</v>
      </c>
      <c r="T183">
        <f t="shared" si="120"/>
        <v>-1.225552568307122</v>
      </c>
      <c r="U183">
        <f t="shared" si="121"/>
        <v>0.99996453232412985</v>
      </c>
      <c r="V183">
        <f t="shared" si="122"/>
        <v>-8.4223376246171672E-3</v>
      </c>
      <c r="X183">
        <f t="shared" si="139"/>
        <v>-3.3938270743752592</v>
      </c>
      <c r="Y183">
        <f t="shared" si="123"/>
        <v>-86.630185042282221</v>
      </c>
      <c r="Z183">
        <f t="shared" si="140"/>
        <v>93.369814957717779</v>
      </c>
      <c r="AC183">
        <v>1</v>
      </c>
      <c r="AD183">
        <f t="shared" si="124"/>
        <v>22.075468896726001</v>
      </c>
      <c r="AE183">
        <f t="shared" si="125"/>
        <v>-1.0333467493857445E-5</v>
      </c>
      <c r="AF183">
        <f t="shared" si="126"/>
        <v>1.22688303601185E-3</v>
      </c>
      <c r="AG183">
        <f t="shared" si="141"/>
        <v>17984.99156507877</v>
      </c>
      <c r="AH183">
        <f t="shared" si="142"/>
        <v>-966.5528749747815</v>
      </c>
      <c r="AJ183">
        <f t="shared" si="127"/>
        <v>18000</v>
      </c>
      <c r="AK183">
        <f t="shared" si="128"/>
        <v>50048.963834561997</v>
      </c>
      <c r="AL183">
        <v>1</v>
      </c>
      <c r="AM183">
        <f t="shared" si="129"/>
        <v>30.585477898899001</v>
      </c>
      <c r="AN183">
        <f t="shared" si="143"/>
        <v>1653.8373524267731</v>
      </c>
      <c r="AO183">
        <f t="shared" si="144"/>
        <v>-534.44195646070477</v>
      </c>
      <c r="AQ183">
        <f t="shared" si="130"/>
        <v>0.45040987298441582</v>
      </c>
      <c r="AR183">
        <f t="shared" si="131"/>
        <v>-67.111071074677952</v>
      </c>
      <c r="AT183">
        <f t="shared" si="156"/>
        <v>-56765.780923413957</v>
      </c>
      <c r="AU183">
        <f t="shared" si="157"/>
        <v>-1207427.3921591348</v>
      </c>
      <c r="AV183">
        <f t="shared" si="145"/>
        <v>-1.6177755601118362</v>
      </c>
      <c r="AW183">
        <f t="shared" si="146"/>
        <v>6843.4648433801049</v>
      </c>
      <c r="AX183">
        <f t="shared" si="147"/>
        <v>-121296.05113328331</v>
      </c>
      <c r="AY183">
        <f t="shared" si="155"/>
        <v>-1.5144365580277048</v>
      </c>
      <c r="BA183">
        <f t="shared" si="132"/>
        <v>9.9495554241894286</v>
      </c>
      <c r="BB183">
        <f t="shared" si="148"/>
        <v>19.956073512130835</v>
      </c>
      <c r="BC183">
        <f t="shared" si="149"/>
        <v>-0.10333900208413138</v>
      </c>
      <c r="BD183">
        <f t="shared" si="133"/>
        <v>-185.92088868527995</v>
      </c>
      <c r="BF183">
        <f t="shared" si="134"/>
        <v>-3.747255016655981</v>
      </c>
      <c r="BG183">
        <f t="shared" si="135"/>
        <v>-107.38320961422609</v>
      </c>
      <c r="BH183">
        <f t="shared" si="150"/>
        <v>72.616790385773911</v>
      </c>
      <c r="BI183">
        <f t="shared" si="151"/>
        <v>72.616790385773911</v>
      </c>
      <c r="BJ183">
        <f t="shared" si="136"/>
        <v>0</v>
      </c>
      <c r="BK183">
        <f t="shared" si="152"/>
        <v>0</v>
      </c>
      <c r="BM183">
        <f t="shared" si="153"/>
        <v>-23.703328528786813</v>
      </c>
      <c r="BN183">
        <f t="shared" si="137"/>
        <v>-101.46232092894614</v>
      </c>
      <c r="BQ183" s="66">
        <f t="shared" si="154"/>
        <v>36.858034312415967</v>
      </c>
      <c r="BR183" s="71"/>
      <c r="BS183" s="71"/>
      <c r="BT183" s="71">
        <v>5370.3180000000002</v>
      </c>
      <c r="BU183" s="71">
        <v>1.48515</v>
      </c>
      <c r="BV183" s="71">
        <v>-237.34699999999998</v>
      </c>
      <c r="BW183" s="75"/>
      <c r="BY183" s="71"/>
      <c r="BZ183" s="71"/>
      <c r="CA183" s="71"/>
      <c r="CC183" s="71"/>
    </row>
    <row r="184" spans="1:81" x14ac:dyDescent="0.2">
      <c r="A184">
        <f t="shared" si="158"/>
        <v>75000</v>
      </c>
      <c r="B184">
        <f t="shared" si="138"/>
        <v>75</v>
      </c>
      <c r="C184">
        <f t="shared" si="107"/>
        <v>4.7712365604372096</v>
      </c>
      <c r="D184">
        <f t="shared" si="108"/>
        <v>1.3596414430551129</v>
      </c>
      <c r="F184">
        <f t="shared" si="109"/>
        <v>9.0588496417475222E-4</v>
      </c>
      <c r="G184">
        <f t="shared" si="110"/>
        <v>1.2391324940267772E-2</v>
      </c>
      <c r="H184">
        <f t="shared" si="111"/>
        <v>-3.1292013250597326</v>
      </c>
      <c r="J184">
        <f t="shared" si="112"/>
        <v>15</v>
      </c>
      <c r="M184">
        <f t="shared" si="113"/>
        <v>4.4979988772664202E-2</v>
      </c>
      <c r="N184">
        <f t="shared" si="114"/>
        <v>-1.5707963250000001</v>
      </c>
      <c r="O184">
        <f t="shared" si="115"/>
        <v>22.246113607502441</v>
      </c>
      <c r="P184">
        <f t="shared" si="116"/>
        <v>1.5258295024895892</v>
      </c>
      <c r="Q184">
        <f t="shared" si="117"/>
        <v>30.806983926211135</v>
      </c>
      <c r="R184">
        <f t="shared" si="118"/>
        <v>1.5383304516486844</v>
      </c>
      <c r="S184">
        <f t="shared" si="119"/>
        <v>0.33642600721516158</v>
      </c>
      <c r="T184">
        <f t="shared" si="120"/>
        <v>-1.2276772310681356</v>
      </c>
      <c r="U184">
        <f t="shared" si="121"/>
        <v>0.99996405467612737</v>
      </c>
      <c r="V184">
        <f t="shared" si="122"/>
        <v>-8.4788606804239545E-3</v>
      </c>
      <c r="X184">
        <f t="shared" si="139"/>
        <v>-3.448162287321241</v>
      </c>
      <c r="Y184">
        <f t="shared" si="123"/>
        <v>-86.651406582162394</v>
      </c>
      <c r="Z184">
        <f t="shared" si="140"/>
        <v>93.348593417837606</v>
      </c>
      <c r="AC184">
        <v>1</v>
      </c>
      <c r="AD184">
        <f t="shared" si="124"/>
        <v>22.223626406100003</v>
      </c>
      <c r="AE184">
        <f t="shared" si="125"/>
        <v>-1.0472637206062452E-5</v>
      </c>
      <c r="AF184">
        <f t="shared" si="126"/>
        <v>1.2351171503475001E-3</v>
      </c>
      <c r="AG184">
        <f t="shared" si="141"/>
        <v>17984.974383482891</v>
      </c>
      <c r="AH184">
        <f t="shared" si="142"/>
        <v>-962.13554442524003</v>
      </c>
      <c r="AJ184">
        <f t="shared" si="127"/>
        <v>18000</v>
      </c>
      <c r="AK184">
        <f t="shared" si="128"/>
        <v>50384.862920699998</v>
      </c>
      <c r="AL184">
        <v>1</v>
      </c>
      <c r="AM184">
        <f t="shared" si="129"/>
        <v>30.790749562649996</v>
      </c>
      <c r="AN184">
        <f t="shared" si="143"/>
        <v>1653.6053908226377</v>
      </c>
      <c r="AO184">
        <f t="shared" si="144"/>
        <v>-530.88654356781149</v>
      </c>
      <c r="AQ184">
        <f t="shared" si="130"/>
        <v>0.44442469223590064</v>
      </c>
      <c r="AR184">
        <f t="shared" si="131"/>
        <v>-66.663703835385093</v>
      </c>
      <c r="AT184">
        <f t="shared" si="156"/>
        <v>-56146.552277811257</v>
      </c>
      <c r="AU184">
        <f t="shared" si="157"/>
        <v>-1199372.6025807115</v>
      </c>
      <c r="AV184">
        <f t="shared" si="145"/>
        <v>-1.6175754438767598</v>
      </c>
      <c r="AW184">
        <f t="shared" si="146"/>
        <v>7310.5308908707757</v>
      </c>
      <c r="AX184">
        <f t="shared" si="147"/>
        <v>-120473.35923232354</v>
      </c>
      <c r="AY184">
        <f t="shared" si="155"/>
        <v>-1.510188922878239</v>
      </c>
      <c r="BA184">
        <f t="shared" si="132"/>
        <v>9.9481043214475715</v>
      </c>
      <c r="BB184">
        <f t="shared" si="148"/>
        <v>19.954806617586172</v>
      </c>
      <c r="BC184">
        <f t="shared" si="149"/>
        <v>-0.10738652099852075</v>
      </c>
      <c r="BD184">
        <f t="shared" si="133"/>
        <v>-186.15279443683883</v>
      </c>
      <c r="BF184">
        <f t="shared" si="134"/>
        <v>-3.8092881819638693</v>
      </c>
      <c r="BG184">
        <f t="shared" si="135"/>
        <v>-107.54110738722451</v>
      </c>
      <c r="BH184">
        <f t="shared" si="150"/>
        <v>72.458892612775486</v>
      </c>
      <c r="BI184">
        <f t="shared" si="151"/>
        <v>72.458892612775486</v>
      </c>
      <c r="BJ184">
        <f t="shared" si="136"/>
        <v>0</v>
      </c>
      <c r="BK184">
        <f t="shared" si="152"/>
        <v>0</v>
      </c>
      <c r="BM184">
        <f t="shared" si="153"/>
        <v>-23.764094799550044</v>
      </c>
      <c r="BN184">
        <f t="shared" si="137"/>
        <v>-101.3883129503857</v>
      </c>
      <c r="BQ184" s="66">
        <f t="shared" si="154"/>
        <v>36.85676741787131</v>
      </c>
      <c r="BR184" s="71"/>
      <c r="BS184" s="71"/>
      <c r="BT184" s="71">
        <v>5495.4089999999997</v>
      </c>
      <c r="BU184" s="71">
        <v>1.35836</v>
      </c>
      <c r="BV184" s="71">
        <v>-235.61199999999999</v>
      </c>
      <c r="BW184" s="75"/>
      <c r="BY184" s="71"/>
      <c r="BZ184" s="71"/>
      <c r="CA184" s="71"/>
      <c r="CC184" s="71"/>
    </row>
    <row r="185" spans="1:81" x14ac:dyDescent="0.2">
      <c r="A185">
        <f t="shared" si="158"/>
        <v>75500</v>
      </c>
      <c r="B185">
        <f t="shared" si="138"/>
        <v>75.5</v>
      </c>
      <c r="C185">
        <f t="shared" si="107"/>
        <v>4.8016519670963111</v>
      </c>
      <c r="D185">
        <f t="shared" si="108"/>
        <v>1.3609990172436734</v>
      </c>
      <c r="F185">
        <f t="shared" si="109"/>
        <v>8.9391634390965924E-4</v>
      </c>
      <c r="G185">
        <f t="shared" si="110"/>
        <v>1.230912305671022E-2</v>
      </c>
      <c r="H185">
        <f t="shared" si="111"/>
        <v>-3.1292835269432899</v>
      </c>
      <c r="J185">
        <f t="shared" si="112"/>
        <v>15</v>
      </c>
      <c r="M185">
        <f t="shared" si="113"/>
        <v>4.4682108052315435E-2</v>
      </c>
      <c r="N185">
        <f t="shared" si="114"/>
        <v>-1.5707963250000001</v>
      </c>
      <c r="O185">
        <f t="shared" si="115"/>
        <v>22.394122344058523</v>
      </c>
      <c r="P185">
        <f t="shared" si="116"/>
        <v>1.5261268987325491</v>
      </c>
      <c r="Q185">
        <f t="shared" si="117"/>
        <v>31.012148133715304</v>
      </c>
      <c r="R185">
        <f t="shared" si="118"/>
        <v>1.5385453078899969</v>
      </c>
      <c r="S185">
        <f t="shared" si="119"/>
        <v>0.33444797010541139</v>
      </c>
      <c r="T185">
        <f t="shared" si="120"/>
        <v>-1.2297769190478332</v>
      </c>
      <c r="U185">
        <f t="shared" si="121"/>
        <v>0.99996357383384638</v>
      </c>
      <c r="V185">
        <f t="shared" si="122"/>
        <v>-8.5353836820520213E-3</v>
      </c>
      <c r="X185">
        <f t="shared" si="139"/>
        <v>-3.502177792593697</v>
      </c>
      <c r="Y185">
        <f t="shared" si="123"/>
        <v>-86.672525015377786</v>
      </c>
      <c r="Z185">
        <f t="shared" si="140"/>
        <v>93.327474984622214</v>
      </c>
      <c r="AC185">
        <v>1</v>
      </c>
      <c r="AD185">
        <f t="shared" si="124"/>
        <v>22.371783915474005</v>
      </c>
      <c r="AE185">
        <f t="shared" si="125"/>
        <v>-1.0612737819352445E-5</v>
      </c>
      <c r="AF185">
        <f t="shared" si="126"/>
        <v>1.2433512646831501E-3</v>
      </c>
      <c r="AG185">
        <f t="shared" si="141"/>
        <v>17984.957086993116</v>
      </c>
      <c r="AH185">
        <f t="shared" si="142"/>
        <v>-957.79018213331551</v>
      </c>
      <c r="AJ185">
        <f t="shared" si="127"/>
        <v>18000</v>
      </c>
      <c r="AK185">
        <f t="shared" si="128"/>
        <v>50720.762006837998</v>
      </c>
      <c r="AL185">
        <v>1</v>
      </c>
      <c r="AM185">
        <f t="shared" si="129"/>
        <v>30.996021226400998</v>
      </c>
      <c r="AN185">
        <f t="shared" si="143"/>
        <v>1653.3780160610395</v>
      </c>
      <c r="AO185">
        <f t="shared" si="144"/>
        <v>-527.37807425475796</v>
      </c>
      <c r="AQ185">
        <f t="shared" si="130"/>
        <v>0.43855802122620824</v>
      </c>
      <c r="AR185">
        <f t="shared" si="131"/>
        <v>-66.222261205157437</v>
      </c>
      <c r="AT185">
        <f t="shared" si="156"/>
        <v>-55539.584429057759</v>
      </c>
      <c r="AU185">
        <f t="shared" si="157"/>
        <v>-1191424.5725454318</v>
      </c>
      <c r="AV185">
        <f t="shared" si="145"/>
        <v>-1.6173787187966282</v>
      </c>
      <c r="AW185">
        <f t="shared" si="146"/>
        <v>7768.3635945885171</v>
      </c>
      <c r="AX185">
        <f t="shared" si="147"/>
        <v>-119661.95956913765</v>
      </c>
      <c r="AY185">
        <f t="shared" si="155"/>
        <v>-1.5059680567272256</v>
      </c>
      <c r="BA185">
        <f t="shared" si="132"/>
        <v>9.9464604312471909</v>
      </c>
      <c r="BB185">
        <f t="shared" si="148"/>
        <v>19.953371185439998</v>
      </c>
      <c r="BC185">
        <f t="shared" si="149"/>
        <v>-0.11141066206940264</v>
      </c>
      <c r="BD185">
        <f t="shared" si="133"/>
        <v>-186.38336073662907</v>
      </c>
      <c r="BF185">
        <f t="shared" si="134"/>
        <v>-3.8710525107053426</v>
      </c>
      <c r="BG185">
        <f t="shared" si="135"/>
        <v>-107.69860023654671</v>
      </c>
      <c r="BH185">
        <f t="shared" si="150"/>
        <v>72.30139976345329</v>
      </c>
      <c r="BI185">
        <f t="shared" si="151"/>
        <v>72.30139976345329</v>
      </c>
      <c r="BJ185">
        <f t="shared" si="136"/>
        <v>0</v>
      </c>
      <c r="BK185">
        <f t="shared" si="152"/>
        <v>0</v>
      </c>
      <c r="BM185">
        <f t="shared" si="153"/>
        <v>-23.824423696145338</v>
      </c>
      <c r="BN185">
        <f t="shared" si="137"/>
        <v>-101.31523949991765</v>
      </c>
      <c r="BQ185" s="66">
        <f t="shared" si="154"/>
        <v>36.855331985725137</v>
      </c>
      <c r="BR185" s="71"/>
      <c r="BS185" s="71"/>
      <c r="BT185" s="71">
        <v>5623.4129999999996</v>
      </c>
      <c r="BU185" s="71">
        <v>1.07298</v>
      </c>
      <c r="BV185" s="71">
        <v>-235.13800000000001</v>
      </c>
      <c r="BW185" s="75"/>
      <c r="BY185" s="71"/>
      <c r="BZ185" s="71"/>
      <c r="CA185" s="71"/>
      <c r="CC185" s="71"/>
    </row>
    <row r="186" spans="1:81" x14ac:dyDescent="0.2">
      <c r="A186">
        <f t="shared" si="158"/>
        <v>76000</v>
      </c>
      <c r="B186">
        <f t="shared" si="138"/>
        <v>76</v>
      </c>
      <c r="C186">
        <f t="shared" si="107"/>
        <v>4.8320761118216389</v>
      </c>
      <c r="D186">
        <f t="shared" si="108"/>
        <v>1.3623394985196891</v>
      </c>
      <c r="F186">
        <f t="shared" si="109"/>
        <v>8.8218342513201155E-4</v>
      </c>
      <c r="G186">
        <f t="shared" si="110"/>
        <v>1.2228005518235694E-2</v>
      </c>
      <c r="H186">
        <f t="shared" si="111"/>
        <v>-3.1293646444817647</v>
      </c>
      <c r="J186">
        <f t="shared" si="112"/>
        <v>15</v>
      </c>
      <c r="M186">
        <f t="shared" si="113"/>
        <v>4.4388146815129148E-2</v>
      </c>
      <c r="N186">
        <f t="shared" si="114"/>
        <v>-1.5707963250000001</v>
      </c>
      <c r="O186">
        <f t="shared" si="115"/>
        <v>22.542133035242806</v>
      </c>
      <c r="P186">
        <f t="shared" si="116"/>
        <v>1.5264203896189015</v>
      </c>
      <c r="Q186">
        <f t="shared" si="117"/>
        <v>31.21731375402198</v>
      </c>
      <c r="R186">
        <f t="shared" si="118"/>
        <v>1.5387573399957502</v>
      </c>
      <c r="S186">
        <f t="shared" si="119"/>
        <v>0.33249161677056921</v>
      </c>
      <c r="T186">
        <f t="shared" si="120"/>
        <v>-1.2318520518383518</v>
      </c>
      <c r="U186">
        <f t="shared" si="121"/>
        <v>0.99996308979730075</v>
      </c>
      <c r="V186">
        <f t="shared" si="122"/>
        <v>-8.5919066291402797E-3</v>
      </c>
      <c r="X186">
        <f t="shared" si="139"/>
        <v>-3.55587719066436</v>
      </c>
      <c r="Y186">
        <f t="shared" si="123"/>
        <v>-86.693539331614119</v>
      </c>
      <c r="Z186">
        <f t="shared" si="140"/>
        <v>93.306460668385881</v>
      </c>
      <c r="AC186">
        <v>1</v>
      </c>
      <c r="AD186">
        <f t="shared" si="124"/>
        <v>22.519941424848003</v>
      </c>
      <c r="AE186">
        <f t="shared" si="125"/>
        <v>-1.0753769333727417E-5</v>
      </c>
      <c r="AF186">
        <f t="shared" si="126"/>
        <v>1.2515853790188002E-3</v>
      </c>
      <c r="AG186">
        <f t="shared" si="141"/>
        <v>17984.939675610094</v>
      </c>
      <c r="AH186">
        <f t="shared" si="142"/>
        <v>-953.51536759569888</v>
      </c>
      <c r="AJ186">
        <f t="shared" si="127"/>
        <v>18000</v>
      </c>
      <c r="AK186">
        <f t="shared" si="128"/>
        <v>51056.661092975999</v>
      </c>
      <c r="AL186">
        <v>1</v>
      </c>
      <c r="AM186">
        <f t="shared" si="129"/>
        <v>31.201292890151997</v>
      </c>
      <c r="AN186">
        <f t="shared" si="143"/>
        <v>1653.1551080407003</v>
      </c>
      <c r="AO186">
        <f t="shared" si="144"/>
        <v>-523.91562585276142</v>
      </c>
      <c r="AQ186">
        <f t="shared" si="130"/>
        <v>0.43280675178532785</v>
      </c>
      <c r="AR186">
        <f t="shared" si="131"/>
        <v>-65.78662627136984</v>
      </c>
      <c r="AT186">
        <f t="shared" si="156"/>
        <v>-54944.555809970203</v>
      </c>
      <c r="AU186">
        <f t="shared" si="157"/>
        <v>-1183581.1928415194</v>
      </c>
      <c r="AV186">
        <f t="shared" si="145"/>
        <v>-1.6171853181470153</v>
      </c>
      <c r="AW186">
        <f t="shared" si="146"/>
        <v>8217.2045984812394</v>
      </c>
      <c r="AX186">
        <f t="shared" si="147"/>
        <v>-118861.6197661215</v>
      </c>
      <c r="AY186">
        <f t="shared" si="155"/>
        <v>-1.501773616363113</v>
      </c>
      <c r="BA186">
        <f t="shared" si="132"/>
        <v>9.9446276187199842</v>
      </c>
      <c r="BB186">
        <f t="shared" si="148"/>
        <v>19.951770508056875</v>
      </c>
      <c r="BC186">
        <f t="shared" si="149"/>
        <v>-0.11541170178390225</v>
      </c>
      <c r="BD186">
        <f t="shared" si="133"/>
        <v>-186.61260342619607</v>
      </c>
      <c r="BF186">
        <f t="shared" si="134"/>
        <v>-3.9325511069328463</v>
      </c>
      <c r="BG186">
        <f t="shared" si="135"/>
        <v>-107.85568669899835</v>
      </c>
      <c r="BH186">
        <f t="shared" si="150"/>
        <v>72.144313301001645</v>
      </c>
      <c r="BI186">
        <f t="shared" si="151"/>
        <v>72.144313301001645</v>
      </c>
      <c r="BJ186">
        <f t="shared" si="136"/>
        <v>0</v>
      </c>
      <c r="BK186">
        <f t="shared" si="152"/>
        <v>0</v>
      </c>
      <c r="BM186">
        <f t="shared" si="153"/>
        <v>-23.884321614989723</v>
      </c>
      <c r="BN186">
        <f t="shared" si="137"/>
        <v>-101.24308327280228</v>
      </c>
      <c r="BQ186" s="66">
        <f t="shared" si="154"/>
        <v>36.853731308342013</v>
      </c>
      <c r="BR186" s="71"/>
      <c r="BS186" s="71"/>
      <c r="BT186" s="71">
        <v>5754.3990000000003</v>
      </c>
      <c r="BU186" s="71">
        <v>0.86915299999999995</v>
      </c>
      <c r="BV186" s="71">
        <v>-234.68899999999999</v>
      </c>
      <c r="BW186" s="75"/>
      <c r="BY186" s="71"/>
      <c r="BZ186" s="71"/>
      <c r="CA186" s="71"/>
      <c r="CC186" s="71"/>
    </row>
    <row r="187" spans="1:81" x14ac:dyDescent="0.2">
      <c r="A187">
        <f t="shared" si="158"/>
        <v>76500</v>
      </c>
      <c r="B187">
        <f t="shared" si="138"/>
        <v>76.5</v>
      </c>
      <c r="C187">
        <f t="shared" si="107"/>
        <v>4.8625088305940452</v>
      </c>
      <c r="D187">
        <f t="shared" si="108"/>
        <v>1.3636632029554303</v>
      </c>
      <c r="F187">
        <f t="shared" si="109"/>
        <v>8.7068005760891967E-4</v>
      </c>
      <c r="G187">
        <f t="shared" si="110"/>
        <v>1.2147950992115457E-2</v>
      </c>
      <c r="H187">
        <f t="shared" si="111"/>
        <v>-3.1294446990078848</v>
      </c>
      <c r="J187">
        <f t="shared" si="112"/>
        <v>15</v>
      </c>
      <c r="M187">
        <f t="shared" si="113"/>
        <v>4.4098028208494316E-2</v>
      </c>
      <c r="N187">
        <f t="shared" si="114"/>
        <v>-1.5707963250000001</v>
      </c>
      <c r="O187">
        <f t="shared" si="115"/>
        <v>22.690145642804424</v>
      </c>
      <c r="P187">
        <f t="shared" si="116"/>
        <v>1.5267100515239798</v>
      </c>
      <c r="Q187">
        <f t="shared" si="117"/>
        <v>31.422480759457496</v>
      </c>
      <c r="R187">
        <f t="shared" si="118"/>
        <v>1.5389666032656295</v>
      </c>
      <c r="S187">
        <f t="shared" si="119"/>
        <v>0.33055661901753541</v>
      </c>
      <c r="T187">
        <f t="shared" si="120"/>
        <v>-1.2339030401210453</v>
      </c>
      <c r="U187">
        <f t="shared" si="121"/>
        <v>0.99996260256650427</v>
      </c>
      <c r="V187">
        <f t="shared" si="122"/>
        <v>-8.6484295213276451E-3</v>
      </c>
      <c r="X187">
        <f t="shared" si="139"/>
        <v>-3.6092640221235834</v>
      </c>
      <c r="Y187">
        <f t="shared" si="123"/>
        <v>-86.714448629404345</v>
      </c>
      <c r="Z187">
        <f t="shared" si="140"/>
        <v>93.285551370595655</v>
      </c>
      <c r="AC187">
        <v>1</v>
      </c>
      <c r="AD187">
        <f t="shared" si="124"/>
        <v>22.668098934222002</v>
      </c>
      <c r="AE187">
        <f t="shared" si="125"/>
        <v>-1.0895731749187375E-5</v>
      </c>
      <c r="AF187">
        <f t="shared" si="126"/>
        <v>1.2598194933544501E-3</v>
      </c>
      <c r="AG187">
        <f t="shared" si="141"/>
        <v>17984.922149334496</v>
      </c>
      <c r="AH187">
        <f t="shared" si="142"/>
        <v>-949.30971744591363</v>
      </c>
      <c r="AJ187">
        <f t="shared" si="127"/>
        <v>18000</v>
      </c>
      <c r="AK187">
        <f t="shared" si="128"/>
        <v>51392.560179114</v>
      </c>
      <c r="AL187">
        <v>1</v>
      </c>
      <c r="AM187">
        <f t="shared" si="129"/>
        <v>31.406564553902999</v>
      </c>
      <c r="AN187">
        <f t="shared" si="143"/>
        <v>1652.9365505643432</v>
      </c>
      <c r="AO187">
        <f t="shared" si="144"/>
        <v>-520.4982996907936</v>
      </c>
      <c r="AQ187">
        <f t="shared" si="130"/>
        <v>0.42716787697565145</v>
      </c>
      <c r="AR187">
        <f t="shared" si="131"/>
        <v>-65.35668517727467</v>
      </c>
      <c r="AT187">
        <f t="shared" si="156"/>
        <v>-54361.155326736567</v>
      </c>
      <c r="AU187">
        <f t="shared" si="157"/>
        <v>-1175840.4094684424</v>
      </c>
      <c r="AV187">
        <f t="shared" si="145"/>
        <v>-1.6169951769412099</v>
      </c>
      <c r="AW187">
        <f t="shared" si="146"/>
        <v>8657.287696049334</v>
      </c>
      <c r="AX187">
        <f t="shared" si="147"/>
        <v>-118072.11382779959</v>
      </c>
      <c r="AY187">
        <f t="shared" si="155"/>
        <v>-1.4976052653329421</v>
      </c>
      <c r="BA187">
        <f t="shared" si="132"/>
        <v>9.9426096578050345</v>
      </c>
      <c r="BB187">
        <f t="shared" si="148"/>
        <v>19.950007791032121</v>
      </c>
      <c r="BC187">
        <f t="shared" si="149"/>
        <v>-0.11938991160826773</v>
      </c>
      <c r="BD187">
        <f t="shared" si="133"/>
        <v>-186.84053805941016</v>
      </c>
      <c r="BF187">
        <f t="shared" si="134"/>
        <v>-3.9937870205825754</v>
      </c>
      <c r="BG187">
        <f t="shared" si="135"/>
        <v>-108.01236544111788</v>
      </c>
      <c r="BH187">
        <f t="shared" si="150"/>
        <v>71.987634558882121</v>
      </c>
      <c r="BI187">
        <f t="shared" si="151"/>
        <v>71.987634558882121</v>
      </c>
      <c r="BJ187">
        <f t="shared" si="136"/>
        <v>0</v>
      </c>
      <c r="BK187">
        <f t="shared" si="152"/>
        <v>0</v>
      </c>
      <c r="BM187">
        <f t="shared" si="153"/>
        <v>-23.943794811614694</v>
      </c>
      <c r="BN187">
        <f t="shared" si="137"/>
        <v>-101.17182738170774</v>
      </c>
      <c r="BQ187" s="66">
        <f t="shared" si="154"/>
        <v>36.851968591317259</v>
      </c>
      <c r="BR187" s="71"/>
      <c r="BS187" s="71"/>
      <c r="BT187" s="71">
        <v>5888.4369999999999</v>
      </c>
      <c r="BU187" s="71">
        <v>0.80323599999999995</v>
      </c>
      <c r="BV187" s="71">
        <v>-233.95400000000001</v>
      </c>
      <c r="BW187" s="75"/>
      <c r="BY187" s="71"/>
      <c r="BZ187" s="71"/>
      <c r="CA187" s="71"/>
      <c r="CC187" s="71"/>
    </row>
    <row r="188" spans="1:81" x14ac:dyDescent="0.2">
      <c r="A188">
        <f t="shared" si="158"/>
        <v>77000</v>
      </c>
      <c r="B188">
        <f t="shared" si="138"/>
        <v>77</v>
      </c>
      <c r="C188">
        <f t="shared" si="107"/>
        <v>4.8929499634293299</v>
      </c>
      <c r="D188">
        <f t="shared" si="108"/>
        <v>1.3649704389959938</v>
      </c>
      <c r="F188">
        <f t="shared" si="109"/>
        <v>8.5940029045884422E-4</v>
      </c>
      <c r="G188">
        <f t="shared" si="110"/>
        <v>1.2068938702005866E-2</v>
      </c>
      <c r="H188">
        <f t="shared" si="111"/>
        <v>-3.1295237112979946</v>
      </c>
      <c r="J188">
        <f t="shared" si="112"/>
        <v>15</v>
      </c>
      <c r="M188">
        <f t="shared" si="113"/>
        <v>4.3811677375971629E-2</v>
      </c>
      <c r="N188">
        <f t="shared" si="114"/>
        <v>-1.5707963250000001</v>
      </c>
      <c r="O188">
        <f t="shared" si="115"/>
        <v>22.83816012948364</v>
      </c>
      <c r="P188">
        <f t="shared" si="116"/>
        <v>1.5269959588457667</v>
      </c>
      <c r="Q188">
        <f t="shared" si="117"/>
        <v>31.62764912306606</v>
      </c>
      <c r="R188">
        <f t="shared" si="118"/>
        <v>1.5391731515653899</v>
      </c>
      <c r="S188">
        <f t="shared" si="119"/>
        <v>0.32864265457522024</v>
      </c>
      <c r="T188">
        <f t="shared" si="120"/>
        <v>-1.2359302858886116</v>
      </c>
      <c r="U188">
        <f t="shared" si="121"/>
        <v>0.99996211214147113</v>
      </c>
      <c r="V188">
        <f t="shared" si="122"/>
        <v>-8.7049523582530385E-3</v>
      </c>
      <c r="X188">
        <f t="shared" si="139"/>
        <v>-3.6623417690510895</v>
      </c>
      <c r="Y188">
        <f t="shared" si="123"/>
        <v>-86.735252110036456</v>
      </c>
      <c r="Z188">
        <f t="shared" si="140"/>
        <v>93.264747889963544</v>
      </c>
      <c r="AC188">
        <v>1</v>
      </c>
      <c r="AD188">
        <f t="shared" si="124"/>
        <v>22.816256443596004</v>
      </c>
      <c r="AE188">
        <f t="shared" si="125"/>
        <v>-1.1038625065732318E-5</v>
      </c>
      <c r="AF188">
        <f t="shared" si="126"/>
        <v>1.2680536076901E-3</v>
      </c>
      <c r="AG188">
        <f t="shared" si="141"/>
        <v>17984.904508167005</v>
      </c>
      <c r="AH188">
        <f t="shared" si="142"/>
        <v>-945.17188424857454</v>
      </c>
      <c r="AJ188">
        <f t="shared" si="127"/>
        <v>18000</v>
      </c>
      <c r="AK188">
        <f t="shared" si="128"/>
        <v>51728.459265251993</v>
      </c>
      <c r="AL188">
        <v>1</v>
      </c>
      <c r="AM188">
        <f t="shared" si="129"/>
        <v>31.611836217654002</v>
      </c>
      <c r="AN188">
        <f t="shared" si="143"/>
        <v>1652.7222311874452</v>
      </c>
      <c r="AO188">
        <f t="shared" si="144"/>
        <v>-517.12522032121706</v>
      </c>
      <c r="AQ188">
        <f t="shared" si="130"/>
        <v>0.42163848716110808</v>
      </c>
      <c r="AR188">
        <f t="shared" si="131"/>
        <v>-64.93232702281064</v>
      </c>
      <c r="AT188">
        <f t="shared" si="156"/>
        <v>-53789.081952234039</v>
      </c>
      <c r="AU188">
        <f t="shared" si="157"/>
        <v>-1168200.2218417029</v>
      </c>
      <c r="AV188">
        <f t="shared" si="145"/>
        <v>-1.616808231874054</v>
      </c>
      <c r="AW188">
        <f t="shared" si="146"/>
        <v>9088.839134290547</v>
      </c>
      <c r="AX188">
        <f t="shared" si="147"/>
        <v>-117293.22192180197</v>
      </c>
      <c r="AY188">
        <f t="shared" si="155"/>
        <v>-1.4934626737893137</v>
      </c>
      <c r="BA188">
        <f t="shared" si="132"/>
        <v>9.9404102339374418</v>
      </c>
      <c r="BB188">
        <f t="shared" si="148"/>
        <v>19.948086156072929</v>
      </c>
      <c r="BC188">
        <f t="shared" si="149"/>
        <v>-0.12334555808474024</v>
      </c>
      <c r="BD188">
        <f t="shared" si="133"/>
        <v>-187.06717990801678</v>
      </c>
      <c r="BF188">
        <f t="shared" si="134"/>
        <v>-4.0547632487100298</v>
      </c>
      <c r="BG188">
        <f t="shared" si="135"/>
        <v>-108.1686352524454</v>
      </c>
      <c r="BH188">
        <f t="shared" si="150"/>
        <v>71.831364747554602</v>
      </c>
      <c r="BI188">
        <f t="shared" si="151"/>
        <v>71.831364747554602</v>
      </c>
      <c r="BJ188">
        <f t="shared" si="136"/>
        <v>0</v>
      </c>
      <c r="BK188">
        <f t="shared" si="152"/>
        <v>0</v>
      </c>
      <c r="BM188">
        <f t="shared" si="153"/>
        <v>-24.002849404782957</v>
      </c>
      <c r="BN188">
        <f t="shared" si="137"/>
        <v>-101.1014553444286</v>
      </c>
      <c r="BQ188" s="66">
        <f t="shared" si="154"/>
        <v>36.850046956358064</v>
      </c>
      <c r="BR188" s="71"/>
      <c r="BS188" s="71"/>
      <c r="BT188" s="71">
        <v>6025.5959999999995</v>
      </c>
      <c r="BU188" s="71">
        <v>0.76992799999999995</v>
      </c>
      <c r="BV188" s="71">
        <v>-234.14699999999999</v>
      </c>
      <c r="BW188" s="75"/>
      <c r="BY188" s="71"/>
      <c r="BZ188" s="71"/>
      <c r="CA188" s="71"/>
      <c r="CC188" s="71"/>
    </row>
    <row r="189" spans="1:81" x14ac:dyDescent="0.2">
      <c r="A189">
        <f t="shared" si="158"/>
        <v>77500</v>
      </c>
      <c r="B189">
        <f t="shared" si="138"/>
        <v>77.5</v>
      </c>
      <c r="C189">
        <f t="shared" si="107"/>
        <v>4.9233993542563033</v>
      </c>
      <c r="D189">
        <f t="shared" si="108"/>
        <v>1.3662615076843205</v>
      </c>
      <c r="F189">
        <f t="shared" si="109"/>
        <v>8.4833836444553595E-4</v>
      </c>
      <c r="G189">
        <f t="shared" si="110"/>
        <v>1.199094840991261E-2</v>
      </c>
      <c r="H189">
        <f t="shared" si="111"/>
        <v>-3.1296017015900874</v>
      </c>
      <c r="J189">
        <f t="shared" si="112"/>
        <v>15</v>
      </c>
      <c r="M189">
        <f t="shared" si="113"/>
        <v>4.3529021392900845E-2</v>
      </c>
      <c r="N189">
        <f t="shared" si="114"/>
        <v>-1.5707963250000001</v>
      </c>
      <c r="O189">
        <f t="shared" si="115"/>
        <v>22.986176458979934</v>
      </c>
      <c r="P189">
        <f t="shared" si="116"/>
        <v>1.5272781840684351</v>
      </c>
      <c r="Q189">
        <f t="shared" si="117"/>
        <v>31.832818818586645</v>
      </c>
      <c r="R189">
        <f t="shared" si="118"/>
        <v>1.5393770373730189</v>
      </c>
      <c r="S189">
        <f t="shared" si="119"/>
        <v>0.32674940698374272</v>
      </c>
      <c r="T189">
        <f t="shared" si="120"/>
        <v>-1.2379341826610923</v>
      </c>
      <c r="U189">
        <f t="shared" si="121"/>
        <v>0.99996161852221499</v>
      </c>
      <c r="V189">
        <f t="shared" si="122"/>
        <v>-8.7614751395553737E-3</v>
      </c>
      <c r="X189">
        <f t="shared" si="139"/>
        <v>-3.7151138563438995</v>
      </c>
      <c r="Y189">
        <f t="shared" si="123"/>
        <v>-86.755949071784627</v>
      </c>
      <c r="Z189">
        <f t="shared" si="140"/>
        <v>93.244050928215373</v>
      </c>
      <c r="AC189">
        <v>1</v>
      </c>
      <c r="AD189">
        <f t="shared" si="124"/>
        <v>22.964413952970002</v>
      </c>
      <c r="AE189">
        <f t="shared" si="125"/>
        <v>-1.1182449283362242E-5</v>
      </c>
      <c r="AF189">
        <f t="shared" si="126"/>
        <v>1.27628772202575E-3</v>
      </c>
      <c r="AG189">
        <f t="shared" si="141"/>
        <v>17984.886752108279</v>
      </c>
      <c r="AH189">
        <f t="shared" si="142"/>
        <v>-941.10055534031926</v>
      </c>
      <c r="AJ189">
        <f t="shared" si="127"/>
        <v>18000</v>
      </c>
      <c r="AK189">
        <f t="shared" si="128"/>
        <v>52064.358351390001</v>
      </c>
      <c r="AL189">
        <v>1</v>
      </c>
      <c r="AM189">
        <f t="shared" si="129"/>
        <v>31.817107881405001</v>
      </c>
      <c r="AN189">
        <f t="shared" si="143"/>
        <v>1652.5120410737786</v>
      </c>
      <c r="AO189">
        <f t="shared" si="144"/>
        <v>-513.79553477518459</v>
      </c>
      <c r="AQ189">
        <f t="shared" si="130"/>
        <v>0.41621576625322565</v>
      </c>
      <c r="AR189">
        <f t="shared" si="131"/>
        <v>-64.513443769249974</v>
      </c>
      <c r="AT189">
        <f t="shared" si="156"/>
        <v>-53228.044337651372</v>
      </c>
      <c r="AU189">
        <f t="shared" si="157"/>
        <v>-1160658.6810672286</v>
      </c>
      <c r="AV189">
        <f t="shared" si="145"/>
        <v>-1.6166244212679448</v>
      </c>
      <c r="AW189">
        <f t="shared" si="146"/>
        <v>9512.0779040096786</v>
      </c>
      <c r="AX189">
        <f t="shared" si="147"/>
        <v>-116524.73016884594</v>
      </c>
      <c r="AY189">
        <f t="shared" si="155"/>
        <v>-1.4893455183406963</v>
      </c>
      <c r="BA189">
        <f t="shared" si="132"/>
        <v>9.9380329466471267</v>
      </c>
      <c r="BB189">
        <f t="shared" si="148"/>
        <v>19.946008643769524</v>
      </c>
      <c r="BC189">
        <f t="shared" si="149"/>
        <v>-0.12727890292724853</v>
      </c>
      <c r="BD189">
        <f t="shared" si="133"/>
        <v>-187.2925439671196</v>
      </c>
      <c r="BF189">
        <f t="shared" si="134"/>
        <v>-4.1154827366869355</v>
      </c>
      <c r="BG189">
        <f t="shared" si="135"/>
        <v>-108.32449503914606</v>
      </c>
      <c r="BH189">
        <f t="shared" si="150"/>
        <v>71.675504960853942</v>
      </c>
      <c r="BI189">
        <f t="shared" si="151"/>
        <v>71.675504960853942</v>
      </c>
      <c r="BJ189">
        <f t="shared" si="136"/>
        <v>0</v>
      </c>
      <c r="BK189">
        <f t="shared" si="152"/>
        <v>0</v>
      </c>
      <c r="BM189">
        <f t="shared" si="153"/>
        <v>-24.061491380456459</v>
      </c>
      <c r="BN189">
        <f t="shared" si="137"/>
        <v>-101.03195107202647</v>
      </c>
      <c r="BQ189" s="66">
        <f t="shared" si="154"/>
        <v>36.847969444054662</v>
      </c>
      <c r="BR189" s="71"/>
      <c r="BS189" s="71"/>
      <c r="BT189" s="71">
        <v>6165.95</v>
      </c>
      <c r="BU189" s="71">
        <v>0.46947800000000001</v>
      </c>
      <c r="BV189" s="71">
        <v>-232.05599999999998</v>
      </c>
      <c r="BW189" s="75"/>
      <c r="BY189" s="71"/>
      <c r="BZ189" s="71"/>
      <c r="CA189" s="71"/>
      <c r="CC189" s="71"/>
    </row>
    <row r="190" spans="1:81" x14ac:dyDescent="0.2">
      <c r="A190">
        <f t="shared" si="158"/>
        <v>78000</v>
      </c>
      <c r="B190">
        <f t="shared" si="138"/>
        <v>78</v>
      </c>
      <c r="C190">
        <f t="shared" si="107"/>
        <v>4.9538568507991787</v>
      </c>
      <c r="D190">
        <f t="shared" si="108"/>
        <v>1.3675367028784295</v>
      </c>
      <c r="F190">
        <f t="shared" si="109"/>
        <v>8.3748870461737015E-4</v>
      </c>
      <c r="G190">
        <f t="shared" si="110"/>
        <v>1.1913960398852504E-2</v>
      </c>
      <c r="H190">
        <f t="shared" si="111"/>
        <v>-3.1296786896011479</v>
      </c>
      <c r="J190">
        <f t="shared" si="112"/>
        <v>15</v>
      </c>
      <c r="M190">
        <f t="shared" si="113"/>
        <v>4.3249989204484807E-2</v>
      </c>
      <c r="N190">
        <f t="shared" si="114"/>
        <v>-1.5707963250000001</v>
      </c>
      <c r="O190">
        <f t="shared" si="115"/>
        <v>23.134194595921389</v>
      </c>
      <c r="P190">
        <f t="shared" si="116"/>
        <v>1.5275567978234537</v>
      </c>
      <c r="Q190">
        <f t="shared" si="117"/>
        <v>32.037989820430766</v>
      </c>
      <c r="R190">
        <f t="shared" si="118"/>
        <v>1.5395783118231285</v>
      </c>
      <c r="S190">
        <f t="shared" si="119"/>
        <v>0.32487656548514826</v>
      </c>
      <c r="T190">
        <f t="shared" si="120"/>
        <v>-1.2399151156959201</v>
      </c>
      <c r="U190">
        <f t="shared" si="121"/>
        <v>0.9999611217087504</v>
      </c>
      <c r="V190">
        <f t="shared" si="122"/>
        <v>-8.8179978648735748E-3</v>
      </c>
      <c r="X190">
        <f t="shared" si="139"/>
        <v>-3.7675836530031654</v>
      </c>
      <c r="Y190">
        <f t="shared" si="123"/>
        <v>-86.776538904446213</v>
      </c>
      <c r="Z190">
        <f t="shared" si="140"/>
        <v>93.223461095553787</v>
      </c>
      <c r="AC190">
        <v>1</v>
      </c>
      <c r="AD190">
        <f t="shared" si="124"/>
        <v>23.112571462344</v>
      </c>
      <c r="AE190">
        <f t="shared" si="125"/>
        <v>-1.132720440207715E-5</v>
      </c>
      <c r="AF190">
        <f t="shared" si="126"/>
        <v>1.2845218363613999E-3</v>
      </c>
      <c r="AG190">
        <f t="shared" si="141"/>
        <v>17984.868881159011</v>
      </c>
      <c r="AH190">
        <f t="shared" si="142"/>
        <v>-937.09445171532207</v>
      </c>
      <c r="AJ190">
        <f t="shared" si="127"/>
        <v>18000</v>
      </c>
      <c r="AK190">
        <f t="shared" si="128"/>
        <v>52400.257437527995</v>
      </c>
      <c r="AL190">
        <v>1</v>
      </c>
      <c r="AM190">
        <f t="shared" si="129"/>
        <v>32.022379545155999</v>
      </c>
      <c r="AN190">
        <f t="shared" si="143"/>
        <v>1652.3058748573931</v>
      </c>
      <c r="AO190">
        <f t="shared" si="144"/>
        <v>-510.50841184647402</v>
      </c>
      <c r="AQ190">
        <f t="shared" si="130"/>
        <v>0.41089698812507702</v>
      </c>
      <c r="AR190">
        <f t="shared" si="131"/>
        <v>-64.099930147512012</v>
      </c>
      <c r="AT190">
        <f t="shared" si="156"/>
        <v>-52677.760441480554</v>
      </c>
      <c r="AU190">
        <f t="shared" si="157"/>
        <v>-1153213.8882822536</v>
      </c>
      <c r="AV190">
        <f t="shared" si="145"/>
        <v>-1.6164436850209014</v>
      </c>
      <c r="AW190">
        <f t="shared" si="146"/>
        <v>9927.2160171873202</v>
      </c>
      <c r="AX190">
        <f t="shared" si="147"/>
        <v>-115766.43044129184</v>
      </c>
      <c r="AY190">
        <f t="shared" si="155"/>
        <v>-1.4852534819050327</v>
      </c>
      <c r="BA190">
        <f t="shared" si="132"/>
        <v>9.9354813120711896</v>
      </c>
      <c r="BB190">
        <f t="shared" si="148"/>
        <v>19.94377821626118</v>
      </c>
      <c r="BC190">
        <f t="shared" si="149"/>
        <v>-0.13119020311586871</v>
      </c>
      <c r="BD190">
        <f t="shared" si="133"/>
        <v>-187.51664496059232</v>
      </c>
      <c r="BF190">
        <f t="shared" si="134"/>
        <v>-4.1759483793609196</v>
      </c>
      <c r="BG190">
        <f t="shared" si="135"/>
        <v>-108.47994381796941</v>
      </c>
      <c r="BH190">
        <f t="shared" si="150"/>
        <v>71.520056182030586</v>
      </c>
      <c r="BI190">
        <f t="shared" si="151"/>
        <v>71.520056182030586</v>
      </c>
      <c r="BJ190">
        <f t="shared" si="136"/>
        <v>0</v>
      </c>
      <c r="BK190">
        <f t="shared" si="152"/>
        <v>0</v>
      </c>
      <c r="BM190">
        <f t="shared" si="153"/>
        <v>-24.119726595622101</v>
      </c>
      <c r="BN190">
        <f t="shared" si="137"/>
        <v>-100.9632988573771</v>
      </c>
      <c r="BQ190" s="66">
        <f t="shared" si="154"/>
        <v>36.845739016546318</v>
      </c>
      <c r="BR190" s="71"/>
      <c r="BS190" s="71"/>
      <c r="BT190" s="71">
        <v>6309.5730000000003</v>
      </c>
      <c r="BU190" s="71">
        <v>0.36985299999999999</v>
      </c>
      <c r="BV190" s="71">
        <v>-231.369</v>
      </c>
      <c r="BW190" s="75"/>
      <c r="BY190" s="71"/>
      <c r="BZ190" s="71"/>
      <c r="CA190" s="71"/>
      <c r="CC190" s="71"/>
    </row>
    <row r="191" spans="1:81" x14ac:dyDescent="0.2">
      <c r="A191">
        <f t="shared" si="158"/>
        <v>78500</v>
      </c>
      <c r="B191">
        <f t="shared" si="138"/>
        <v>78.5</v>
      </c>
      <c r="C191">
        <f t="shared" si="107"/>
        <v>4.9843223044641505</v>
      </c>
      <c r="D191">
        <f t="shared" si="108"/>
        <v>1.3687963114611776</v>
      </c>
      <c r="F191">
        <f t="shared" si="109"/>
        <v>8.2684591327448814E-4</v>
      </c>
      <c r="G191">
        <f t="shared" si="110"/>
        <v>1.1837955456181612E-2</v>
      </c>
      <c r="H191">
        <f t="shared" si="111"/>
        <v>-3.1297546945438186</v>
      </c>
      <c r="J191">
        <f t="shared" si="112"/>
        <v>15</v>
      </c>
      <c r="M191">
        <f t="shared" si="113"/>
        <v>4.2974511566239687E-2</v>
      </c>
      <c r="N191">
        <f t="shared" si="114"/>
        <v>-1.5707963250000001</v>
      </c>
      <c r="O191">
        <f t="shared" si="115"/>
        <v>23.282214505835164</v>
      </c>
      <c r="P191">
        <f t="shared" si="116"/>
        <v>1.5278318689483701</v>
      </c>
      <c r="Q191">
        <f t="shared" si="117"/>
        <v>32.243162103661064</v>
      </c>
      <c r="R191">
        <f t="shared" si="118"/>
        <v>1.5397770247496543</v>
      </c>
      <c r="S191">
        <f t="shared" si="119"/>
        <v>0.32302382491567772</v>
      </c>
      <c r="T191">
        <f t="shared" si="120"/>
        <v>-1.2418734621921841</v>
      </c>
      <c r="U191">
        <f t="shared" si="121"/>
        <v>0.99996062170109157</v>
      </c>
      <c r="V191">
        <f t="shared" si="122"/>
        <v>-8.8745205338465697E-3</v>
      </c>
      <c r="X191">
        <f t="shared" si="139"/>
        <v>-3.8197544733817237</v>
      </c>
      <c r="Y191">
        <f t="shared" si="123"/>
        <v>-86.797021084167767</v>
      </c>
      <c r="Z191">
        <f t="shared" si="140"/>
        <v>93.202978915832233</v>
      </c>
      <c r="AC191">
        <v>1</v>
      </c>
      <c r="AD191">
        <f t="shared" si="124"/>
        <v>23.260728971718002</v>
      </c>
      <c r="AE191">
        <f t="shared" si="125"/>
        <v>-1.1472890421877039E-5</v>
      </c>
      <c r="AF191">
        <f t="shared" si="126"/>
        <v>1.29275595069705E-3</v>
      </c>
      <c r="AG191">
        <f t="shared" si="141"/>
        <v>17984.850895319883</v>
      </c>
      <c r="AH191">
        <f t="shared" si="142"/>
        <v>-933.15232695339614</v>
      </c>
      <c r="AJ191">
        <f t="shared" si="127"/>
        <v>18000</v>
      </c>
      <c r="AK191">
        <f t="shared" si="128"/>
        <v>52736.156523666003</v>
      </c>
      <c r="AL191">
        <v>1</v>
      </c>
      <c r="AM191">
        <f t="shared" si="129"/>
        <v>32.227651208906998</v>
      </c>
      <c r="AN191">
        <f t="shared" si="143"/>
        <v>1652.1036305107218</v>
      </c>
      <c r="AO191">
        <f t="shared" si="144"/>
        <v>-507.26304140250488</v>
      </c>
      <c r="AQ191">
        <f t="shared" si="130"/>
        <v>0.40567951318458417</v>
      </c>
      <c r="AR191">
        <f t="shared" si="131"/>
        <v>-63.691683569979716</v>
      </c>
      <c r="AT191">
        <f t="shared" si="156"/>
        <v>-52137.957174995259</v>
      </c>
      <c r="AU191">
        <f t="shared" si="157"/>
        <v>-1145863.9930597059</v>
      </c>
      <c r="AV191">
        <f t="shared" si="145"/>
        <v>-1.6162659645566064</v>
      </c>
      <c r="AW191">
        <f t="shared" si="146"/>
        <v>10334.458772062504</v>
      </c>
      <c r="AX191">
        <f t="shared" si="147"/>
        <v>-115018.12016986658</v>
      </c>
      <c r="AY191">
        <f t="shared" si="155"/>
        <v>-1.4811862535665978</v>
      </c>
      <c r="BA191">
        <f t="shared" si="132"/>
        <v>9.9327587653826193</v>
      </c>
      <c r="BB191">
        <f t="shared" si="148"/>
        <v>19.941397759801301</v>
      </c>
      <c r="BC191">
        <f t="shared" si="149"/>
        <v>-0.13507971099000859</v>
      </c>
      <c r="BD191">
        <f t="shared" si="133"/>
        <v>-187.73949734641809</v>
      </c>
      <c r="BF191">
        <f t="shared" si="134"/>
        <v>-4.2361630221797881</v>
      </c>
      <c r="BG191">
        <f t="shared" si="135"/>
        <v>-108.63498071052493</v>
      </c>
      <c r="BH191">
        <f t="shared" si="150"/>
        <v>71.365019289475072</v>
      </c>
      <c r="BI191">
        <f t="shared" si="151"/>
        <v>71.365019289475072</v>
      </c>
      <c r="BJ191">
        <f t="shared" si="136"/>
        <v>0</v>
      </c>
      <c r="BK191">
        <f t="shared" si="152"/>
        <v>0</v>
      </c>
      <c r="BM191">
        <f t="shared" si="153"/>
        <v>-24.177560781981093</v>
      </c>
      <c r="BN191">
        <f t="shared" si="137"/>
        <v>-100.89548336410685</v>
      </c>
      <c r="BQ191" s="66">
        <f t="shared" si="154"/>
        <v>36.843358560086436</v>
      </c>
      <c r="BR191" s="71"/>
      <c r="BS191" s="71"/>
      <c r="BT191" s="71">
        <v>6456.5420000000004</v>
      </c>
      <c r="BU191" s="71">
        <v>0.12767600000000001</v>
      </c>
      <c r="BV191" s="71">
        <v>-230.779</v>
      </c>
      <c r="BW191" s="75"/>
      <c r="BY191" s="71"/>
      <c r="BZ191" s="71"/>
      <c r="CA191" s="71"/>
      <c r="CC191" s="71"/>
    </row>
    <row r="192" spans="1:81" x14ac:dyDescent="0.2">
      <c r="A192">
        <f t="shared" si="158"/>
        <v>79000</v>
      </c>
      <c r="B192">
        <f t="shared" si="138"/>
        <v>79</v>
      </c>
      <c r="C192">
        <f t="shared" si="107"/>
        <v>5.0147955702299525</v>
      </c>
      <c r="D192">
        <f t="shared" si="108"/>
        <v>1.3700406135428331</v>
      </c>
      <c r="F192">
        <f t="shared" si="109"/>
        <v>8.1640476324716302E-4</v>
      </c>
      <c r="G192">
        <f t="shared" si="110"/>
        <v>1.1762914857559937E-2</v>
      </c>
      <c r="H192">
        <f t="shared" si="111"/>
        <v>-3.1298297351424402</v>
      </c>
      <c r="J192">
        <f t="shared" si="112"/>
        <v>15</v>
      </c>
      <c r="M192">
        <f t="shared" si="113"/>
        <v>4.2702520986706523E-2</v>
      </c>
      <c r="N192">
        <f t="shared" si="114"/>
        <v>-1.5707963250000001</v>
      </c>
      <c r="O192">
        <f t="shared" si="115"/>
        <v>23.430236155119136</v>
      </c>
      <c r="P192">
        <f t="shared" si="116"/>
        <v>1.5281034645433693</v>
      </c>
      <c r="Q192">
        <f t="shared" si="117"/>
        <v>32.448335643970751</v>
      </c>
      <c r="R192">
        <f t="shared" si="118"/>
        <v>1.5399732247269355</v>
      </c>
      <c r="S192">
        <f t="shared" si="119"/>
        <v>0.32119088559961501</v>
      </c>
      <c r="T192">
        <f t="shared" si="120"/>
        <v>-1.2438095914892786</v>
      </c>
      <c r="U192">
        <f t="shared" si="121"/>
        <v>0.99996011849925293</v>
      </c>
      <c r="V192">
        <f t="shared" si="122"/>
        <v>-8.9310431461132808E-3</v>
      </c>
      <c r="X192">
        <f t="shared" si="139"/>
        <v>-3.8716295783939669</v>
      </c>
      <c r="Y192">
        <f t="shared" si="123"/>
        <v>-86.817395168544508</v>
      </c>
      <c r="Z192">
        <f t="shared" si="140"/>
        <v>93.182604831455492</v>
      </c>
      <c r="AC192">
        <v>1</v>
      </c>
      <c r="AD192">
        <f t="shared" si="124"/>
        <v>23.408886481092004</v>
      </c>
      <c r="AE192">
        <f t="shared" si="125"/>
        <v>-1.1619507342761913E-5</v>
      </c>
      <c r="AF192">
        <f t="shared" si="126"/>
        <v>1.3009900650327001E-3</v>
      </c>
      <c r="AG192">
        <f t="shared" si="141"/>
        <v>17984.832794591588</v>
      </c>
      <c r="AH192">
        <f t="shared" si="142"/>
        <v>-929.27296618880405</v>
      </c>
      <c r="AJ192">
        <f t="shared" si="127"/>
        <v>18000</v>
      </c>
      <c r="AK192">
        <f t="shared" si="128"/>
        <v>53072.055609803996</v>
      </c>
      <c r="AL192">
        <v>1</v>
      </c>
      <c r="AM192">
        <f t="shared" si="129"/>
        <v>32.432922872658004</v>
      </c>
      <c r="AN192">
        <f t="shared" si="143"/>
        <v>1651.905209218492</v>
      </c>
      <c r="AO192">
        <f t="shared" si="144"/>
        <v>-504.05863372133734</v>
      </c>
      <c r="AQ192">
        <f t="shared" si="130"/>
        <v>0.40056078509913878</v>
      </c>
      <c r="AR192">
        <f t="shared" si="131"/>
        <v>-63.288604045663931</v>
      </c>
      <c r="AT192">
        <f t="shared" si="156"/>
        <v>-51608.370063384515</v>
      </c>
      <c r="AU192">
        <f t="shared" si="157"/>
        <v>-1138607.1918732866</v>
      </c>
      <c r="AV192">
        <f t="shared" si="145"/>
        <v>-1.6160912027763352</v>
      </c>
      <c r="AW192">
        <f t="shared" si="146"/>
        <v>10734.005006546988</v>
      </c>
      <c r="AX192">
        <f t="shared" si="147"/>
        <v>-114279.60215816827</v>
      </c>
      <c r="AY192">
        <f t="shared" si="155"/>
        <v>-1.4771435284360559</v>
      </c>
      <c r="BA192">
        <f t="shared" si="132"/>
        <v>9.9298686631384587</v>
      </c>
      <c r="BB192">
        <f t="shared" si="148"/>
        <v>19.938870087225958</v>
      </c>
      <c r="BC192">
        <f t="shared" si="149"/>
        <v>-0.13894767434027933</v>
      </c>
      <c r="BD192">
        <f t="shared" si="133"/>
        <v>-187.96111532195312</v>
      </c>
      <c r="BF192">
        <f t="shared" si="134"/>
        <v>-4.2961294622818365</v>
      </c>
      <c r="BG192">
        <f t="shared" si="135"/>
        <v>-108.78960493785836</v>
      </c>
      <c r="BH192">
        <f t="shared" si="150"/>
        <v>71.210395062141643</v>
      </c>
      <c r="BI192">
        <f t="shared" si="151"/>
        <v>71.210395062141643</v>
      </c>
      <c r="BJ192">
        <f t="shared" si="136"/>
        <v>0</v>
      </c>
      <c r="BK192">
        <f t="shared" si="152"/>
        <v>0</v>
      </c>
      <c r="BM192">
        <f t="shared" si="153"/>
        <v>-24.234999549507794</v>
      </c>
      <c r="BN192">
        <f t="shared" si="137"/>
        <v>-100.82848961590526</v>
      </c>
      <c r="BQ192" s="66">
        <f t="shared" si="154"/>
        <v>36.840830887511096</v>
      </c>
      <c r="BR192" s="71"/>
      <c r="BS192" s="71"/>
      <c r="BT192" s="71">
        <v>6606.9340000000002</v>
      </c>
      <c r="BU192" s="71">
        <v>3.6938100000000001E-2</v>
      </c>
      <c r="BV192" s="71">
        <v>-229.60900000000001</v>
      </c>
      <c r="BW192" s="75"/>
      <c r="BY192" s="71"/>
      <c r="BZ192" s="71"/>
      <c r="CA192" s="71"/>
      <c r="CC192" s="71"/>
    </row>
    <row r="193" spans="1:81" x14ac:dyDescent="0.2">
      <c r="A193">
        <f t="shared" si="158"/>
        <v>79500</v>
      </c>
      <c r="B193">
        <f t="shared" si="138"/>
        <v>79.5</v>
      </c>
      <c r="C193">
        <f t="shared" si="107"/>
        <v>5.0452765065422707</v>
      </c>
      <c r="D193">
        <f t="shared" si="108"/>
        <v>1.3712698826567473</v>
      </c>
      <c r="F193">
        <f t="shared" si="109"/>
        <v>8.0616019146974608E-4</v>
      </c>
      <c r="G193">
        <f t="shared" si="110"/>
        <v>1.1688820351524513E-2</v>
      </c>
      <c r="H193">
        <f t="shared" si="111"/>
        <v>-3.1299038296484758</v>
      </c>
      <c r="J193">
        <f t="shared" si="112"/>
        <v>15</v>
      </c>
      <c r="M193">
        <f t="shared" si="113"/>
        <v>4.2433951672324714E-2</v>
      </c>
      <c r="N193">
        <f t="shared" si="114"/>
        <v>-1.5707963250000001</v>
      </c>
      <c r="O193">
        <f t="shared" si="115"/>
        <v>23.5782595110146</v>
      </c>
      <c r="P193">
        <f t="shared" si="116"/>
        <v>1.5283716500257081</v>
      </c>
      <c r="Q193">
        <f t="shared" si="117"/>
        <v>32.653510417663803</v>
      </c>
      <c r="R193">
        <f t="shared" si="118"/>
        <v>1.5401669591092513</v>
      </c>
      <c r="S193">
        <f t="shared" si="119"/>
        <v>0.31937745324473682</v>
      </c>
      <c r="T193">
        <f t="shared" si="120"/>
        <v>-1.2457238652600979</v>
      </c>
      <c r="U193">
        <f t="shared" si="121"/>
        <v>0.99995961210324891</v>
      </c>
      <c r="V193">
        <f t="shared" si="122"/>
        <v>-8.9875657013126376E-3</v>
      </c>
      <c r="X193">
        <f t="shared" si="139"/>
        <v>-3.9232121766894408</v>
      </c>
      <c r="Y193">
        <f t="shared" si="123"/>
        <v>-86.837660791978337</v>
      </c>
      <c r="Z193">
        <f t="shared" si="140"/>
        <v>93.162339208021663</v>
      </c>
      <c r="AC193">
        <v>1</v>
      </c>
      <c r="AD193">
        <f t="shared" si="124"/>
        <v>23.557043990466003</v>
      </c>
      <c r="AE193">
        <f t="shared" si="125"/>
        <v>-1.176705516473177E-5</v>
      </c>
      <c r="AF193">
        <f t="shared" si="126"/>
        <v>1.3092241793683501E-3</v>
      </c>
      <c r="AG193">
        <f t="shared" si="141"/>
        <v>17984.814578974805</v>
      </c>
      <c r="AH193">
        <f t="shared" si="142"/>
        <v>-925.45518511797752</v>
      </c>
      <c r="AJ193">
        <f t="shared" si="127"/>
        <v>18000</v>
      </c>
      <c r="AK193">
        <f t="shared" si="128"/>
        <v>53407.954695941997</v>
      </c>
      <c r="AL193">
        <v>1</v>
      </c>
      <c r="AM193">
        <f t="shared" si="129"/>
        <v>32.638194536408996</v>
      </c>
      <c r="AN193">
        <f t="shared" si="143"/>
        <v>1651.7105152571601</v>
      </c>
      <c r="AO193">
        <f t="shared" si="144"/>
        <v>-500.89441885352386</v>
      </c>
      <c r="AQ193">
        <f t="shared" si="130"/>
        <v>0.39553832766395064</v>
      </c>
      <c r="AR193">
        <f t="shared" si="131"/>
        <v>-62.890594098568151</v>
      </c>
      <c r="AT193">
        <f t="shared" si="156"/>
        <v>-51088.742921756042</v>
      </c>
      <c r="AU193">
        <f t="shared" si="157"/>
        <v>-1131441.7266205647</v>
      </c>
      <c r="AV193">
        <f t="shared" si="145"/>
        <v>-1.6159193440126904</v>
      </c>
      <c r="AW193">
        <f t="shared" si="146"/>
        <v>11126.047340554192</v>
      </c>
      <c r="AX193">
        <f t="shared" si="147"/>
        <v>-113550.68440458876</v>
      </c>
      <c r="AY193">
        <f t="shared" si="155"/>
        <v>-1.473125007513669</v>
      </c>
      <c r="BA193">
        <f t="shared" si="132"/>
        <v>9.9268142855501278</v>
      </c>
      <c r="BB193">
        <f t="shared" si="148"/>
        <v>19.936197940329819</v>
      </c>
      <c r="BC193">
        <f t="shared" si="149"/>
        <v>-0.1427943364990214</v>
      </c>
      <c r="BD193">
        <f t="shared" si="133"/>
        <v>-188.18151282911356</v>
      </c>
      <c r="BF193">
        <f t="shared" si="134"/>
        <v>-4.3558504495536248</v>
      </c>
      <c r="BG193">
        <f t="shared" si="135"/>
        <v>-108.94381581531104</v>
      </c>
      <c r="BH193">
        <f t="shared" si="150"/>
        <v>71.056184184688959</v>
      </c>
      <c r="BI193">
        <f t="shared" si="151"/>
        <v>71.056184184688959</v>
      </c>
      <c r="BJ193">
        <f t="shared" si="136"/>
        <v>0</v>
      </c>
      <c r="BK193">
        <f t="shared" si="152"/>
        <v>0</v>
      </c>
      <c r="BM193">
        <f t="shared" si="153"/>
        <v>-24.292048389883444</v>
      </c>
      <c r="BN193">
        <f t="shared" si="137"/>
        <v>-100.76230298619748</v>
      </c>
      <c r="BQ193" s="66">
        <f t="shared" si="154"/>
        <v>36.838158740614958</v>
      </c>
      <c r="BR193" s="71"/>
      <c r="BS193" s="71"/>
      <c r="BT193" s="71">
        <v>6760.83</v>
      </c>
      <c r="BU193" s="71">
        <v>-4.9019100000000003E-2</v>
      </c>
      <c r="BV193" s="71">
        <v>-229.1</v>
      </c>
      <c r="BW193" s="75"/>
      <c r="BY193" s="71"/>
      <c r="BZ193" s="71"/>
      <c r="CA193" s="71"/>
      <c r="CC193" s="71"/>
    </row>
    <row r="194" spans="1:81" x14ac:dyDescent="0.2">
      <c r="A194">
        <f t="shared" si="158"/>
        <v>80000</v>
      </c>
      <c r="B194">
        <f t="shared" si="138"/>
        <v>80</v>
      </c>
      <c r="C194">
        <f t="shared" si="107"/>
        <v>5.0757649752118219</v>
      </c>
      <c r="D194">
        <f t="shared" si="108"/>
        <v>1.3724843859483908</v>
      </c>
      <c r="F194">
        <f t="shared" si="109"/>
        <v>7.9610729283542594E-4</v>
      </c>
      <c r="G194">
        <f t="shared" si="110"/>
        <v>1.1615654144644117E-2</v>
      </c>
      <c r="H194">
        <f t="shared" si="111"/>
        <v>-3.129976995855356</v>
      </c>
      <c r="J194">
        <f t="shared" si="112"/>
        <v>15</v>
      </c>
      <c r="M194">
        <f t="shared" si="113"/>
        <v>4.2168739474372691E-2</v>
      </c>
      <c r="N194">
        <f t="shared" si="114"/>
        <v>-1.5707963250000001</v>
      </c>
      <c r="O194">
        <f t="shared" si="115"/>
        <v>23.726284541579972</v>
      </c>
      <c r="P194">
        <f t="shared" si="116"/>
        <v>1.5286364891821167</v>
      </c>
      <c r="Q194">
        <f t="shared" si="117"/>
        <v>32.858686401635907</v>
      </c>
      <c r="R194">
        <f t="shared" si="118"/>
        <v>1.5403582740688737</v>
      </c>
      <c r="S194">
        <f t="shared" si="119"/>
        <v>0.31758323883938055</v>
      </c>
      <c r="T194">
        <f t="shared" si="120"/>
        <v>-1.2476166376989333</v>
      </c>
      <c r="U194">
        <f t="shared" si="121"/>
        <v>0.99995910251309406</v>
      </c>
      <c r="V194">
        <f t="shared" si="122"/>
        <v>-9.0440881990835695E-3</v>
      </c>
      <c r="X194">
        <f t="shared" si="139"/>
        <v>-3.974505425791846</v>
      </c>
      <c r="Y194">
        <f t="shared" si="123"/>
        <v>-86.857817661280336</v>
      </c>
      <c r="Z194">
        <f t="shared" si="140"/>
        <v>93.142182338719664</v>
      </c>
      <c r="AC194">
        <v>1</v>
      </c>
      <c r="AD194">
        <f t="shared" si="124"/>
        <v>23.705201499840001</v>
      </c>
      <c r="AE194">
        <f t="shared" si="125"/>
        <v>-1.1915533887786613E-5</v>
      </c>
      <c r="AF194">
        <f t="shared" si="126"/>
        <v>1.317458293704E-3</v>
      </c>
      <c r="AG194">
        <f t="shared" si="141"/>
        <v>17984.796248470255</v>
      </c>
      <c r="AH194">
        <f t="shared" si="142"/>
        <v>-921.69782904445208</v>
      </c>
      <c r="AJ194">
        <f t="shared" si="127"/>
        <v>18000</v>
      </c>
      <c r="AK194">
        <f t="shared" si="128"/>
        <v>53743.853782079997</v>
      </c>
      <c r="AL194">
        <v>1</v>
      </c>
      <c r="AM194">
        <f t="shared" si="129"/>
        <v>32.843466200160002</v>
      </c>
      <c r="AN194">
        <f t="shared" si="143"/>
        <v>1651.5194558795831</v>
      </c>
      <c r="AO194">
        <f t="shared" si="144"/>
        <v>-497.76964600772783</v>
      </c>
      <c r="AQ194">
        <f t="shared" si="130"/>
        <v>0.39060974180696068</v>
      </c>
      <c r="AR194">
        <f t="shared" si="131"/>
        <v>-62.49755868911371</v>
      </c>
      <c r="AT194">
        <f t="shared" si="156"/>
        <v>-50578.827545268578</v>
      </c>
      <c r="AU194">
        <f t="shared" si="157"/>
        <v>-1124365.8832015491</v>
      </c>
      <c r="AV194">
        <f t="shared" si="145"/>
        <v>-1.6157503339850612</v>
      </c>
      <c r="AW194">
        <f t="shared" si="146"/>
        <v>11510.772407793733</v>
      </c>
      <c r="AX194">
        <f t="shared" si="147"/>
        <v>-112831.17993130747</v>
      </c>
      <c r="AY194">
        <f t="shared" si="155"/>
        <v>-1.4691303975555998</v>
      </c>
      <c r="BA194">
        <f t="shared" si="132"/>
        <v>9.9235988386788261</v>
      </c>
      <c r="BB194">
        <f t="shared" si="148"/>
        <v>19.933383992153459</v>
      </c>
      <c r="BC194">
        <f t="shared" si="149"/>
        <v>-0.14661993642946136</v>
      </c>
      <c r="BD194">
        <f t="shared" si="133"/>
        <v>-188.40070355948376</v>
      </c>
      <c r="BF194">
        <f t="shared" si="134"/>
        <v>-4.4153286876565199</v>
      </c>
      <c r="BG194">
        <f t="shared" si="135"/>
        <v>-109.09761274764783</v>
      </c>
      <c r="BH194">
        <f t="shared" si="150"/>
        <v>70.90238725235217</v>
      </c>
      <c r="BI194">
        <f t="shared" si="151"/>
        <v>70.90238725235217</v>
      </c>
      <c r="BJ194">
        <f t="shared" si="136"/>
        <v>0</v>
      </c>
      <c r="BK194">
        <f t="shared" si="152"/>
        <v>0</v>
      </c>
      <c r="BM194">
        <f t="shared" si="153"/>
        <v>-24.348712679809982</v>
      </c>
      <c r="BN194">
        <f t="shared" si="137"/>
        <v>-100.69690918816407</v>
      </c>
      <c r="BQ194" s="66">
        <f t="shared" si="154"/>
        <v>36.835344792438597</v>
      </c>
      <c r="BR194" s="71"/>
      <c r="BS194" s="71"/>
      <c r="BT194" s="71">
        <v>6918.31</v>
      </c>
      <c r="BU194" s="71">
        <v>-0.21798300000000001</v>
      </c>
      <c r="BV194" s="71">
        <v>-228.376</v>
      </c>
      <c r="BW194" s="75"/>
      <c r="BY194" s="71"/>
      <c r="BZ194" s="71"/>
      <c r="CA194" s="71"/>
      <c r="CC194" s="71"/>
    </row>
    <row r="195" spans="1:81" x14ac:dyDescent="0.2">
      <c r="A195">
        <f t="shared" si="158"/>
        <v>80500</v>
      </c>
      <c r="B195">
        <f t="shared" si="138"/>
        <v>80.5</v>
      </c>
      <c r="C195">
        <f t="shared" si="107"/>
        <v>5.1062608413159873</v>
      </c>
      <c r="D195">
        <f t="shared" si="108"/>
        <v>1.3736843843580102</v>
      </c>
      <c r="F195">
        <f t="shared" si="109"/>
        <v>7.8624131431786234E-4</v>
      </c>
      <c r="G195">
        <f t="shared" si="110"/>
        <v>1.1543398887230131E-2</v>
      </c>
      <c r="H195">
        <f t="shared" si="111"/>
        <v>-3.1300492511127702</v>
      </c>
      <c r="J195">
        <f t="shared" si="112"/>
        <v>15</v>
      </c>
      <c r="M195">
        <f t="shared" si="113"/>
        <v>4.1906821837885903E-2</v>
      </c>
      <c r="N195">
        <f t="shared" si="114"/>
        <v>-1.5707963250000001</v>
      </c>
      <c r="O195">
        <f t="shared" si="115"/>
        <v>23.874311215665486</v>
      </c>
      <c r="P195">
        <f t="shared" si="116"/>
        <v>1.5288980442192557</v>
      </c>
      <c r="Q195">
        <f t="shared" si="117"/>
        <v>33.063863573356102</v>
      </c>
      <c r="R195">
        <f t="shared" si="118"/>
        <v>1.5405472146327097</v>
      </c>
      <c r="S195">
        <f t="shared" si="119"/>
        <v>0.3158079585511458</v>
      </c>
      <c r="T195">
        <f t="shared" si="120"/>
        <v>-1.2494882557042248</v>
      </c>
      <c r="U195">
        <f t="shared" si="121"/>
        <v>0.99995858972880303</v>
      </c>
      <c r="V195">
        <f t="shared" si="122"/>
        <v>-9.1006106390650078E-3</v>
      </c>
      <c r="X195">
        <f t="shared" si="139"/>
        <v>-4.0255124332045842</v>
      </c>
      <c r="Y195">
        <f t="shared" si="123"/>
        <v>-86.877865551504627</v>
      </c>
      <c r="Z195">
        <f t="shared" si="140"/>
        <v>93.122134448495373</v>
      </c>
      <c r="AC195">
        <v>1</v>
      </c>
      <c r="AD195">
        <f t="shared" si="124"/>
        <v>23.853359009214003</v>
      </c>
      <c r="AE195">
        <f t="shared" si="125"/>
        <v>-1.2064943511926437E-5</v>
      </c>
      <c r="AF195">
        <f t="shared" si="126"/>
        <v>1.3256924080396501E-3</v>
      </c>
      <c r="AG195">
        <f t="shared" si="141"/>
        <v>17984.777803078628</v>
      </c>
      <c r="AH195">
        <f t="shared" si="142"/>
        <v>-917.99977195938902</v>
      </c>
      <c r="AJ195">
        <f t="shared" si="127"/>
        <v>18000</v>
      </c>
      <c r="AK195">
        <f t="shared" si="128"/>
        <v>54079.752868217998</v>
      </c>
      <c r="AL195">
        <v>1</v>
      </c>
      <c r="AM195">
        <f t="shared" si="129"/>
        <v>33.048737863911001</v>
      </c>
      <c r="AN195">
        <f t="shared" si="143"/>
        <v>1651.3319412046897</v>
      </c>
      <c r="AO195">
        <f t="shared" si="144"/>
        <v>-494.68358295909218</v>
      </c>
      <c r="AQ195">
        <f t="shared" si="130"/>
        <v>0.38577270272355529</v>
      </c>
      <c r="AR195">
        <f t="shared" si="131"/>
        <v>-62.109405138492399</v>
      </c>
      <c r="AT195">
        <f t="shared" si="156"/>
        <v>-50078.383412693074</v>
      </c>
      <c r="AU195">
        <f t="shared" si="157"/>
        <v>-1117377.990150304</v>
      </c>
      <c r="AV195">
        <f t="shared" si="145"/>
        <v>-1.6155841197567362</v>
      </c>
      <c r="AW195">
        <f t="shared" si="146"/>
        <v>11888.361077550802</v>
      </c>
      <c r="AX195">
        <f t="shared" si="147"/>
        <v>-112120.90662003156</v>
      </c>
      <c r="AY195">
        <f t="shared" si="155"/>
        <v>-1.4651594109432626</v>
      </c>
      <c r="BA195">
        <f t="shared" si="132"/>
        <v>9.920225456558315</v>
      </c>
      <c r="BB195">
        <f t="shared" si="148"/>
        <v>19.930430849185441</v>
      </c>
      <c r="BC195">
        <f t="shared" si="149"/>
        <v>-0.15042470881347358</v>
      </c>
      <c r="BD195">
        <f t="shared" si="133"/>
        <v>-188.61870095934469</v>
      </c>
      <c r="BF195">
        <f t="shared" si="134"/>
        <v>-4.4745668350234871</v>
      </c>
      <c r="BG195">
        <f t="shared" si="135"/>
        <v>-109.2509952244388</v>
      </c>
      <c r="BH195">
        <f t="shared" si="150"/>
        <v>70.749004775561204</v>
      </c>
      <c r="BI195">
        <f t="shared" si="151"/>
        <v>70.749004775561204</v>
      </c>
      <c r="BJ195">
        <f t="shared" si="136"/>
        <v>0</v>
      </c>
      <c r="BK195">
        <f t="shared" si="152"/>
        <v>0</v>
      </c>
      <c r="BM195">
        <f t="shared" si="153"/>
        <v>-24.404997684208926</v>
      </c>
      <c r="BN195">
        <f t="shared" si="137"/>
        <v>-100.6322942650941</v>
      </c>
      <c r="BQ195" s="66">
        <f t="shared" si="154"/>
        <v>36.83239164947058</v>
      </c>
      <c r="BR195" s="71"/>
      <c r="BS195" s="71"/>
      <c r="BT195" s="71">
        <v>7079.4579999999996</v>
      </c>
      <c r="BU195" s="71">
        <v>-0.38401400000000002</v>
      </c>
      <c r="BV195" s="71">
        <v>-227.04400000000001</v>
      </c>
      <c r="BW195" s="75"/>
      <c r="BY195" s="71"/>
      <c r="BZ195" s="71"/>
      <c r="CA195" s="71"/>
      <c r="CC195" s="71"/>
    </row>
    <row r="196" spans="1:81" x14ac:dyDescent="0.2">
      <c r="A196">
        <f t="shared" si="158"/>
        <v>81000</v>
      </c>
      <c r="B196">
        <f t="shared" si="138"/>
        <v>81</v>
      </c>
      <c r="C196">
        <f t="shared" si="107"/>
        <v>5.1367639731038164</v>
      </c>
      <c r="D196">
        <f t="shared" si="108"/>
        <v>1.3748701327971511</v>
      </c>
      <c r="F196">
        <f t="shared" si="109"/>
        <v>7.765576493465263E-4</v>
      </c>
      <c r="G196">
        <f t="shared" si="110"/>
        <v>1.1472037659579418E-2</v>
      </c>
      <c r="H196">
        <f t="shared" si="111"/>
        <v>-3.1301206123404208</v>
      </c>
      <c r="J196">
        <f t="shared" si="112"/>
        <v>15</v>
      </c>
      <c r="M196">
        <f t="shared" si="113"/>
        <v>4.1648137752466854E-2</v>
      </c>
      <c r="N196">
        <f t="shared" si="114"/>
        <v>-1.5707963250000001</v>
      </c>
      <c r="O196">
        <f t="shared" si="115"/>
        <v>24.022339502888819</v>
      </c>
      <c r="P196">
        <f t="shared" si="116"/>
        <v>1.5291563758123115</v>
      </c>
      <c r="Q196">
        <f t="shared" si="117"/>
        <v>33.269041910849118</v>
      </c>
      <c r="R196">
        <f t="shared" si="118"/>
        <v>1.5407338247175859</v>
      </c>
      <c r="S196">
        <f t="shared" si="119"/>
        <v>0.31405133362723786</v>
      </c>
      <c r="T196">
        <f t="shared" si="120"/>
        <v>-1.2513390590563167</v>
      </c>
      <c r="U196">
        <f t="shared" si="121"/>
        <v>0.99995807375039059</v>
      </c>
      <c r="V196">
        <f t="shared" si="122"/>
        <v>-9.157133020895894E-3</v>
      </c>
      <c r="X196">
        <f t="shared" si="139"/>
        <v>-4.07623625748435</v>
      </c>
      <c r="Y196">
        <f t="shared" si="123"/>
        <v>-86.897804302001191</v>
      </c>
      <c r="Z196">
        <f t="shared" si="140"/>
        <v>93.102195697998809</v>
      </c>
      <c r="AC196">
        <v>1</v>
      </c>
      <c r="AD196">
        <f t="shared" si="124"/>
        <v>24.001516518588002</v>
      </c>
      <c r="AE196">
        <f t="shared" si="125"/>
        <v>-1.2215284037151244E-5</v>
      </c>
      <c r="AF196">
        <f t="shared" si="126"/>
        <v>1.3339265223753002E-3</v>
      </c>
      <c r="AG196">
        <f t="shared" si="141"/>
        <v>17984.759242800628</v>
      </c>
      <c r="AH196">
        <f t="shared" si="142"/>
        <v>-914.35991565615734</v>
      </c>
      <c r="AJ196">
        <f t="shared" si="127"/>
        <v>18000</v>
      </c>
      <c r="AK196">
        <f t="shared" si="128"/>
        <v>54415.651954355992</v>
      </c>
      <c r="AL196">
        <v>1</v>
      </c>
      <c r="AM196">
        <f t="shared" si="129"/>
        <v>33.254009527661999</v>
      </c>
      <c r="AN196">
        <f t="shared" si="143"/>
        <v>1651.1478841118787</v>
      </c>
      <c r="AO196">
        <f t="shared" si="144"/>
        <v>-491.63551547937396</v>
      </c>
      <c r="AQ196">
        <f t="shared" si="130"/>
        <v>0.38102495713469231</v>
      </c>
      <c r="AR196">
        <f t="shared" si="131"/>
        <v>-61.726043055820156</v>
      </c>
      <c r="AT196">
        <f t="shared" si="156"/>
        <v>-49587.177402742185</v>
      </c>
      <c r="AU196">
        <f t="shared" si="157"/>
        <v>-1110476.4173173397</v>
      </c>
      <c r="AV196">
        <f t="shared" si="145"/>
        <v>-1.6154206496935966</v>
      </c>
      <c r="AW196">
        <f t="shared" si="146"/>
        <v>12258.988666942276</v>
      </c>
      <c r="AX196">
        <f t="shared" si="147"/>
        <v>-111419.68705417078</v>
      </c>
      <c r="AY196">
        <f t="shared" si="155"/>
        <v>-1.4612117655556638</v>
      </c>
      <c r="BA196">
        <f t="shared" si="132"/>
        <v>9.9166972032480505</v>
      </c>
      <c r="BB196">
        <f t="shared" si="148"/>
        <v>19.927341053483072</v>
      </c>
      <c r="BC196">
        <f t="shared" si="149"/>
        <v>-0.15420888413793277</v>
      </c>
      <c r="BD196">
        <f t="shared" si="133"/>
        <v>-188.8355182346215</v>
      </c>
      <c r="BF196">
        <f t="shared" si="134"/>
        <v>-4.5335675058270386</v>
      </c>
      <c r="BG196">
        <f t="shared" si="135"/>
        <v>-109.4039628156809</v>
      </c>
      <c r="BH196">
        <f t="shared" si="150"/>
        <v>70.596037184319101</v>
      </c>
      <c r="BI196">
        <f t="shared" si="151"/>
        <v>70.596037184319101</v>
      </c>
      <c r="BJ196">
        <f t="shared" si="136"/>
        <v>0</v>
      </c>
      <c r="BK196">
        <f t="shared" si="152"/>
        <v>0</v>
      </c>
      <c r="BM196">
        <f t="shared" si="153"/>
        <v>-24.460908559310109</v>
      </c>
      <c r="BN196">
        <f t="shared" si="137"/>
        <v>-100.5684445810594</v>
      </c>
      <c r="BQ196" s="66">
        <f t="shared" si="154"/>
        <v>36.829301853768207</v>
      </c>
      <c r="BR196" s="71"/>
      <c r="BS196" s="71"/>
      <c r="BT196" s="71">
        <v>7244.36</v>
      </c>
      <c r="BU196" s="71">
        <v>-0.57486000000000004</v>
      </c>
      <c r="BV196" s="71">
        <v>-226.239</v>
      </c>
      <c r="BW196" s="75"/>
      <c r="BY196" s="71"/>
      <c r="BZ196" s="71"/>
      <c r="CA196" s="71"/>
      <c r="CC196" s="71"/>
    </row>
    <row r="197" spans="1:81" x14ac:dyDescent="0.2">
      <c r="A197">
        <f t="shared" si="158"/>
        <v>81500</v>
      </c>
      <c r="B197">
        <f t="shared" si="138"/>
        <v>81.5</v>
      </c>
      <c r="C197">
        <f t="shared" si="107"/>
        <v>5.1672742419043187</v>
      </c>
      <c r="D197">
        <f t="shared" si="108"/>
        <v>1.3760418803192835</v>
      </c>
      <c r="F197">
        <f t="shared" si="109"/>
        <v>7.6705183242330708E-4</v>
      </c>
      <c r="G197">
        <f t="shared" si="110"/>
        <v>1.1401553958726197E-2</v>
      </c>
      <c r="H197">
        <f t="shared" si="111"/>
        <v>-3.130191096041274</v>
      </c>
      <c r="J197">
        <f t="shared" si="112"/>
        <v>15</v>
      </c>
      <c r="M197">
        <f t="shared" si="113"/>
        <v>4.1392627704905711E-2</v>
      </c>
      <c r="N197">
        <f t="shared" si="114"/>
        <v>-1.5707963250000001</v>
      </c>
      <c r="O197">
        <f t="shared" si="115"/>
        <v>24.170369373611621</v>
      </c>
      <c r="P197">
        <f t="shared" si="116"/>
        <v>1.5294115431518109</v>
      </c>
      <c r="Q197">
        <f t="shared" si="117"/>
        <v>33.474221392678331</v>
      </c>
      <c r="R197">
        <f t="shared" si="118"/>
        <v>1.5409181471642384</v>
      </c>
      <c r="S197">
        <f t="shared" si="119"/>
        <v>0.31231309029646004</v>
      </c>
      <c r="T197">
        <f t="shared" si="120"/>
        <v>-1.2531693805903632</v>
      </c>
      <c r="U197">
        <f t="shared" si="121"/>
        <v>0.99995755457787139</v>
      </c>
      <c r="V197">
        <f t="shared" si="122"/>
        <v>-9.2136553442151575E-3</v>
      </c>
      <c r="X197">
        <f t="shared" si="139"/>
        <v>-4.12667990928386</v>
      </c>
      <c r="Y197">
        <f t="shared" si="123"/>
        <v>-86.917633812675703</v>
      </c>
      <c r="Z197">
        <f t="shared" si="140"/>
        <v>93.082366187324297</v>
      </c>
      <c r="AC197">
        <v>1</v>
      </c>
      <c r="AD197">
        <f t="shared" si="124"/>
        <v>24.149674027962003</v>
      </c>
      <c r="AE197">
        <f t="shared" si="125"/>
        <v>-1.2366555463461036E-5</v>
      </c>
      <c r="AF197">
        <f t="shared" si="126"/>
        <v>1.34216063671095E-3</v>
      </c>
      <c r="AG197">
        <f t="shared" si="141"/>
        <v>17984.740567636974</v>
      </c>
      <c r="AH197">
        <f t="shared" si="142"/>
        <v>-910.77718887750427</v>
      </c>
      <c r="AJ197">
        <f t="shared" si="127"/>
        <v>18000</v>
      </c>
      <c r="AK197">
        <f t="shared" si="128"/>
        <v>54751.551040494</v>
      </c>
      <c r="AL197">
        <v>1</v>
      </c>
      <c r="AM197">
        <f t="shared" si="129"/>
        <v>33.459281191412998</v>
      </c>
      <c r="AN197">
        <f t="shared" si="143"/>
        <v>1650.9672001399354</v>
      </c>
      <c r="AO197">
        <f t="shared" si="144"/>
        <v>-488.62474678792222</v>
      </c>
      <c r="AQ197">
        <f t="shared" si="130"/>
        <v>0.37636432066240122</v>
      </c>
      <c r="AR197">
        <f t="shared" si="131"/>
        <v>-61.3473842679714</v>
      </c>
      <c r="AT197">
        <f t="shared" si="156"/>
        <v>-49104.983522542811</v>
      </c>
      <c r="AU197">
        <f t="shared" si="157"/>
        <v>-1103659.5746005662</v>
      </c>
      <c r="AV197">
        <f t="shared" si="145"/>
        <v>-1.6152598734243213</v>
      </c>
      <c r="AW197">
        <f t="shared" si="146"/>
        <v>12622.825144113736</v>
      </c>
      <c r="AX197">
        <f t="shared" si="147"/>
        <v>-110727.34836715511</v>
      </c>
      <c r="AY197">
        <f t="shared" si="155"/>
        <v>-1.4572871846446749</v>
      </c>
      <c r="BA197">
        <f t="shared" si="132"/>
        <v>9.9130170748187361</v>
      </c>
      <c r="BB197">
        <f t="shared" si="148"/>
        <v>19.924117084714823</v>
      </c>
      <c r="BC197">
        <f t="shared" si="149"/>
        <v>-0.15797268877964643</v>
      </c>
      <c r="BD197">
        <f t="shared" si="133"/>
        <v>-189.05116835574987</v>
      </c>
      <c r="BF197">
        <f t="shared" si="134"/>
        <v>-4.5923332709197364</v>
      </c>
      <c r="BG197">
        <f t="shared" si="135"/>
        <v>-109.5565151676474</v>
      </c>
      <c r="BH197">
        <f t="shared" si="150"/>
        <v>70.443484832352596</v>
      </c>
      <c r="BI197">
        <f t="shared" si="151"/>
        <v>70.443484832352596</v>
      </c>
      <c r="BJ197">
        <f t="shared" si="136"/>
        <v>0</v>
      </c>
      <c r="BK197">
        <f t="shared" si="152"/>
        <v>0</v>
      </c>
      <c r="BM197">
        <f t="shared" si="153"/>
        <v>-24.516450355634557</v>
      </c>
      <c r="BN197">
        <f t="shared" si="137"/>
        <v>-100.50534681189755</v>
      </c>
      <c r="BQ197" s="66">
        <f t="shared" si="154"/>
        <v>36.826077884999954</v>
      </c>
      <c r="BR197" s="71"/>
      <c r="BS197" s="71"/>
      <c r="BT197" s="71">
        <v>7413.1019999999999</v>
      </c>
      <c r="BU197" s="71">
        <v>-0.73329999999999995</v>
      </c>
      <c r="BV197" s="71">
        <v>-225.834</v>
      </c>
      <c r="BW197" s="75"/>
      <c r="BY197" s="71"/>
      <c r="BZ197" s="71"/>
      <c r="CA197" s="71"/>
      <c r="CC197" s="71"/>
    </row>
    <row r="198" spans="1:81" x14ac:dyDescent="0.2">
      <c r="A198">
        <f t="shared" si="158"/>
        <v>82000</v>
      </c>
      <c r="B198">
        <f t="shared" si="138"/>
        <v>82</v>
      </c>
      <c r="C198">
        <f t="shared" si="107"/>
        <v>5.1977915220378614</v>
      </c>
      <c r="D198">
        <f t="shared" si="108"/>
        <v>1.3771998702847505</v>
      </c>
      <c r="F198">
        <f t="shared" si="109"/>
        <v>7.5771953396862584E-4</v>
      </c>
      <c r="G198">
        <f t="shared" si="110"/>
        <v>1.1331931685681099E-2</v>
      </c>
      <c r="H198">
        <f t="shared" si="111"/>
        <v>-3.130260718314319</v>
      </c>
      <c r="J198">
        <f t="shared" si="112"/>
        <v>15</v>
      </c>
      <c r="M198">
        <f t="shared" si="113"/>
        <v>4.1140233633534334E-2</v>
      </c>
      <c r="N198">
        <f t="shared" si="114"/>
        <v>-1.5707963250000001</v>
      </c>
      <c r="O198">
        <f t="shared" si="115"/>
        <v>24.318400798916855</v>
      </c>
      <c r="P198">
        <f t="shared" si="116"/>
        <v>1.5296636039887297</v>
      </c>
      <c r="Q198">
        <f t="shared" si="117"/>
        <v>33.679401997929403</v>
      </c>
      <c r="R198">
        <f t="shared" si="118"/>
        <v>1.5411002237700619</v>
      </c>
      <c r="S198">
        <f t="shared" si="119"/>
        <v>0.31059295967285788</v>
      </c>
      <c r="T198">
        <f t="shared" si="120"/>
        <v>-1.2549795463645195</v>
      </c>
      <c r="U198">
        <f t="shared" si="121"/>
        <v>0.99995703221126075</v>
      </c>
      <c r="V198">
        <f t="shared" si="122"/>
        <v>-9.2701776086617418E-3</v>
      </c>
      <c r="X198">
        <f t="shared" si="139"/>
        <v>-4.176846352365021</v>
      </c>
      <c r="Y198">
        <f t="shared" si="123"/>
        <v>-86.93735404044584</v>
      </c>
      <c r="Z198">
        <f t="shared" si="140"/>
        <v>93.06264595955416</v>
      </c>
      <c r="AC198">
        <v>1</v>
      </c>
      <c r="AD198">
        <f t="shared" si="124"/>
        <v>24.297831537336005</v>
      </c>
      <c r="AE198">
        <f t="shared" si="125"/>
        <v>-1.251875779085581E-5</v>
      </c>
      <c r="AF198">
        <f t="shared" si="126"/>
        <v>1.3503947510465999E-3</v>
      </c>
      <c r="AG198">
        <f t="shared" si="141"/>
        <v>17984.721777588376</v>
      </c>
      <c r="AH198">
        <f t="shared" si="142"/>
        <v>-907.25054649392735</v>
      </c>
      <c r="AJ198">
        <f t="shared" si="127"/>
        <v>18000</v>
      </c>
      <c r="AK198">
        <f t="shared" si="128"/>
        <v>55087.450126631993</v>
      </c>
      <c r="AL198">
        <v>1</v>
      </c>
      <c r="AM198">
        <f t="shared" si="129"/>
        <v>33.664552855164004</v>
      </c>
      <c r="AN198">
        <f t="shared" si="143"/>
        <v>1650.7898073902361</v>
      </c>
      <c r="AO198">
        <f t="shared" si="144"/>
        <v>-485.65059702261465</v>
      </c>
      <c r="AQ198">
        <f t="shared" si="130"/>
        <v>0.37178867531694987</v>
      </c>
      <c r="AR198">
        <f t="shared" si="131"/>
        <v>-60.973342751979771</v>
      </c>
      <c r="AT198">
        <f t="shared" si="156"/>
        <v>-48631.582647661708</v>
      </c>
      <c r="AU198">
        <f t="shared" si="157"/>
        <v>-1096925.9107227526</v>
      </c>
      <c r="AV198">
        <f t="shared" si="145"/>
        <v>-1.6151017418020432</v>
      </c>
      <c r="AW198">
        <f t="shared" si="146"/>
        <v>12980.035322816209</v>
      </c>
      <c r="AX198">
        <f t="shared" si="147"/>
        <v>-110043.72209661617</v>
      </c>
      <c r="AY198">
        <f t="shared" si="155"/>
        <v>-1.4533853967131922</v>
      </c>
      <c r="BA198">
        <f t="shared" si="132"/>
        <v>9.9091880012728897</v>
      </c>
      <c r="BB198">
        <f t="shared" si="148"/>
        <v>19.920761362127827</v>
      </c>
      <c r="BC198">
        <f t="shared" si="149"/>
        <v>-0.16171634508885102</v>
      </c>
      <c r="BD198">
        <f t="shared" si="133"/>
        <v>-189.2656640624599</v>
      </c>
      <c r="BF198">
        <f t="shared" si="134"/>
        <v>-4.6508666587482645</v>
      </c>
      <c r="BG198">
        <f t="shared" si="135"/>
        <v>-109.70865199895201</v>
      </c>
      <c r="BH198">
        <f t="shared" si="150"/>
        <v>70.291348001047993</v>
      </c>
      <c r="BI198">
        <f t="shared" si="151"/>
        <v>70.291348001047993</v>
      </c>
      <c r="BJ198">
        <f t="shared" si="136"/>
        <v>0</v>
      </c>
      <c r="BK198">
        <f t="shared" si="152"/>
        <v>0</v>
      </c>
      <c r="BM198">
        <f t="shared" si="153"/>
        <v>-24.571628020876091</v>
      </c>
      <c r="BN198">
        <f t="shared" si="137"/>
        <v>-100.4429879364921</v>
      </c>
      <c r="BQ198" s="66">
        <f t="shared" si="154"/>
        <v>36.822722162412958</v>
      </c>
      <c r="BR198" s="71"/>
      <c r="BS198" s="71"/>
      <c r="BT198" s="71">
        <v>7585.7759999999998</v>
      </c>
      <c r="BU198" s="71">
        <v>-0.87090199999999995</v>
      </c>
      <c r="BV198" s="71">
        <v>-224.429</v>
      </c>
      <c r="BW198" s="75"/>
      <c r="BY198" s="71"/>
      <c r="BZ198" s="71"/>
      <c r="CA198" s="71"/>
      <c r="CC198" s="71"/>
    </row>
    <row r="199" spans="1:81" x14ac:dyDescent="0.2">
      <c r="A199">
        <f t="shared" si="158"/>
        <v>82500</v>
      </c>
      <c r="B199">
        <f t="shared" si="138"/>
        <v>82.5</v>
      </c>
      <c r="C199">
        <f t="shared" si="107"/>
        <v>5.2283156907305983</v>
      </c>
      <c r="D199">
        <f t="shared" si="108"/>
        <v>1.378344340520262</v>
      </c>
      <c r="F199">
        <f t="shared" si="109"/>
        <v>7.4855655538594301E-4</v>
      </c>
      <c r="G199">
        <f t="shared" si="110"/>
        <v>1.1263155133136559E-2</v>
      </c>
      <c r="H199">
        <f t="shared" si="111"/>
        <v>-3.1303294948668636</v>
      </c>
      <c r="J199">
        <f t="shared" si="112"/>
        <v>15</v>
      </c>
      <c r="M199">
        <f t="shared" si="113"/>
        <v>4.0890898884240183E-2</v>
      </c>
      <c r="N199">
        <f t="shared" si="114"/>
        <v>-1.5707963250000001</v>
      </c>
      <c r="O199">
        <f t="shared" si="115"/>
        <v>24.466433750587058</v>
      </c>
      <c r="P199">
        <f t="shared" si="116"/>
        <v>1.529912614677966</v>
      </c>
      <c r="Q199">
        <f t="shared" si="117"/>
        <v>33.884583706194412</v>
      </c>
      <c r="R199">
        <f t="shared" si="118"/>
        <v>1.5412800953206705</v>
      </c>
      <c r="S199">
        <f t="shared" si="119"/>
        <v>0.30889067766101458</v>
      </c>
      <c r="T199">
        <f t="shared" si="120"/>
        <v>-1.2567698758235613</v>
      </c>
      <c r="U199">
        <f t="shared" si="121"/>
        <v>0.99995650665057323</v>
      </c>
      <c r="V199">
        <f t="shared" si="122"/>
        <v>-9.32669981387459E-3</v>
      </c>
      <c r="X199">
        <f t="shared" si="139"/>
        <v>-4.226738504583559</v>
      </c>
      <c r="Y199">
        <f t="shared" si="123"/>
        <v>-86.956964995882615</v>
      </c>
      <c r="Z199">
        <f t="shared" si="140"/>
        <v>93.043035004117385</v>
      </c>
      <c r="AC199">
        <v>1</v>
      </c>
      <c r="AD199">
        <f t="shared" si="124"/>
        <v>24.445989046710004</v>
      </c>
      <c r="AE199">
        <f t="shared" si="125"/>
        <v>-1.2671891019335569E-5</v>
      </c>
      <c r="AF199">
        <f t="shared" si="126"/>
        <v>1.35862886538225E-3</v>
      </c>
      <c r="AG199">
        <f t="shared" si="141"/>
        <v>17984.702872655562</v>
      </c>
      <c r="AH199">
        <f t="shared" si="142"/>
        <v>-903.7789687119249</v>
      </c>
      <c r="AJ199">
        <f t="shared" si="127"/>
        <v>18000</v>
      </c>
      <c r="AK199">
        <f t="shared" si="128"/>
        <v>55423.349212770001</v>
      </c>
      <c r="AL199">
        <v>1</v>
      </c>
      <c r="AM199">
        <f t="shared" si="129"/>
        <v>33.869824518914996</v>
      </c>
      <c r="AN199">
        <f t="shared" si="143"/>
        <v>1650.6156264340409</v>
      </c>
      <c r="AO199">
        <f t="shared" si="144"/>
        <v>-482.71240272991247</v>
      </c>
      <c r="AQ199">
        <f t="shared" si="130"/>
        <v>0.36729596709028134</v>
      </c>
      <c r="AR199">
        <f t="shared" si="131"/>
        <v>-60.603834569896421</v>
      </c>
      <c r="AT199">
        <f t="shared" si="156"/>
        <v>-48166.7622731257</v>
      </c>
      <c r="AU199">
        <f t="shared" si="157"/>
        <v>-1090273.9120535075</v>
      </c>
      <c r="AV199">
        <f t="shared" si="145"/>
        <v>-1.6149462068673912</v>
      </c>
      <c r="AW199">
        <f t="shared" si="146"/>
        <v>13330.77904877824</v>
      </c>
      <c r="AX199">
        <f t="shared" si="147"/>
        <v>-109368.64404416914</v>
      </c>
      <c r="AY199">
        <f t="shared" si="155"/>
        <v>-1.4495061353961169</v>
      </c>
      <c r="BA199">
        <f t="shared" si="132"/>
        <v>9.9052128484026163</v>
      </c>
      <c r="BB199">
        <f t="shared" si="148"/>
        <v>19.91727624644345</v>
      </c>
      <c r="BC199">
        <f t="shared" si="149"/>
        <v>-0.16544007147127426</v>
      </c>
      <c r="BD199">
        <f t="shared" si="133"/>
        <v>-189.47901786847808</v>
      </c>
      <c r="BF199">
        <f t="shared" si="134"/>
        <v>-4.7091701562420072</v>
      </c>
      <c r="BG199">
        <f t="shared" si="135"/>
        <v>-109.86037309681687</v>
      </c>
      <c r="BH199">
        <f t="shared" si="150"/>
        <v>70.139626903183128</v>
      </c>
      <c r="BI199">
        <f t="shared" si="151"/>
        <v>70.139626903183128</v>
      </c>
      <c r="BJ199">
        <f t="shared" si="136"/>
        <v>0</v>
      </c>
      <c r="BK199">
        <f t="shared" si="152"/>
        <v>0</v>
      </c>
      <c r="BM199">
        <f t="shared" si="153"/>
        <v>-24.62644640268546</v>
      </c>
      <c r="BN199">
        <f t="shared" si="137"/>
        <v>-100.3813552283388</v>
      </c>
      <c r="BQ199" s="66">
        <f t="shared" si="154"/>
        <v>36.819237046728588</v>
      </c>
      <c r="BR199" s="71"/>
      <c r="BS199" s="71"/>
      <c r="BT199" s="71">
        <v>7762.4709999999995</v>
      </c>
      <c r="BU199" s="71">
        <v>-1.0348599999999999</v>
      </c>
      <c r="BV199" s="71">
        <v>-223.255</v>
      </c>
      <c r="BW199" s="75"/>
      <c r="BY199" s="71"/>
      <c r="BZ199" s="71"/>
      <c r="CA199" s="71"/>
      <c r="CC199" s="71"/>
    </row>
    <row r="200" spans="1:81" x14ac:dyDescent="0.2">
      <c r="A200">
        <f t="shared" si="158"/>
        <v>83000</v>
      </c>
      <c r="B200">
        <f t="shared" si="138"/>
        <v>83</v>
      </c>
      <c r="C200">
        <f t="shared" si="107"/>
        <v>5.2588466280317725</v>
      </c>
      <c r="D200">
        <f t="shared" si="108"/>
        <v>1.3794755234731317</v>
      </c>
      <c r="F200">
        <f t="shared" si="109"/>
        <v>7.3955882433414063E-4</v>
      </c>
      <c r="G200">
        <f t="shared" si="110"/>
        <v>1.1195208973618863E-2</v>
      </c>
      <c r="H200">
        <f t="shared" si="111"/>
        <v>-3.1303974410263815</v>
      </c>
      <c r="J200">
        <f t="shared" si="112"/>
        <v>15</v>
      </c>
      <c r="M200">
        <f t="shared" si="113"/>
        <v>4.0644568168070064E-2</v>
      </c>
      <c r="N200">
        <f t="shared" si="114"/>
        <v>-1.5707963250000001</v>
      </c>
      <c r="O200">
        <f t="shared" si="115"/>
        <v>24.614468201083252</v>
      </c>
      <c r="P200">
        <f t="shared" si="116"/>
        <v>1.5301586302202519</v>
      </c>
      <c r="Q200">
        <f t="shared" si="117"/>
        <v>34.089766497556695</v>
      </c>
      <c r="R200">
        <f t="shared" si="118"/>
        <v>1.5414578016203186</v>
      </c>
      <c r="S200">
        <f t="shared" si="119"/>
        <v>0.30720598486299605</v>
      </c>
      <c r="T200">
        <f t="shared" si="120"/>
        <v>-1.2585406819580609</v>
      </c>
      <c r="U200">
        <f t="shared" si="121"/>
        <v>0.99995597789582413</v>
      </c>
      <c r="V200">
        <f t="shared" si="122"/>
        <v>-9.3832219594926422E-3</v>
      </c>
      <c r="X200">
        <f t="shared" si="139"/>
        <v>-4.276359238846231</v>
      </c>
      <c r="Y200">
        <f t="shared" si="123"/>
        <v>-86.976466740028158</v>
      </c>
      <c r="Z200">
        <f t="shared" si="140"/>
        <v>93.023533259971842</v>
      </c>
      <c r="AC200">
        <v>1</v>
      </c>
      <c r="AD200">
        <f t="shared" si="124"/>
        <v>24.594146556084002</v>
      </c>
      <c r="AE200">
        <f t="shared" si="125"/>
        <v>-1.2825955148900309E-5</v>
      </c>
      <c r="AF200">
        <f t="shared" si="126"/>
        <v>1.3668629797179001E-3</v>
      </c>
      <c r="AG200">
        <f t="shared" si="141"/>
        <v>17984.683852839244</v>
      </c>
      <c r="AH200">
        <f t="shared" si="142"/>
        <v>-900.36146031086423</v>
      </c>
      <c r="AJ200">
        <f t="shared" si="127"/>
        <v>18000</v>
      </c>
      <c r="AK200">
        <f t="shared" si="128"/>
        <v>55759.248298907994</v>
      </c>
      <c r="AL200">
        <v>1</v>
      </c>
      <c r="AM200">
        <f t="shared" si="129"/>
        <v>34.075096182666002</v>
      </c>
      <c r="AN200">
        <f t="shared" si="143"/>
        <v>1650.4445802236658</v>
      </c>
      <c r="AO200">
        <f t="shared" si="144"/>
        <v>-479.80951637323187</v>
      </c>
      <c r="AQ200">
        <f t="shared" si="130"/>
        <v>0.36288420365061508</v>
      </c>
      <c r="AR200">
        <f t="shared" si="131"/>
        <v>-60.238777806002105</v>
      </c>
      <c r="AT200">
        <f t="shared" si="156"/>
        <v>-47710.316274908095</v>
      </c>
      <c r="AU200">
        <f t="shared" si="157"/>
        <v>-1083702.1014738996</v>
      </c>
      <c r="AV200">
        <f t="shared" si="145"/>
        <v>-1.6147932218128633</v>
      </c>
      <c r="AW200">
        <f t="shared" si="146"/>
        <v>13675.211378265743</v>
      </c>
      <c r="AX200">
        <f t="shared" si="147"/>
        <v>-108701.95414054368</v>
      </c>
      <c r="AY200">
        <f t="shared" si="155"/>
        <v>-1.4456491393441111</v>
      </c>
      <c r="BA200">
        <f t="shared" si="132"/>
        <v>9.9010944195868227</v>
      </c>
      <c r="BB200">
        <f t="shared" si="148"/>
        <v>19.913664041683848</v>
      </c>
      <c r="BC200">
        <f t="shared" si="149"/>
        <v>-0.16914408246875223</v>
      </c>
      <c r="BD200">
        <f t="shared" si="133"/>
        <v>-189.69124206614609</v>
      </c>
      <c r="BF200">
        <f t="shared" si="134"/>
        <v>-4.7672462096772463</v>
      </c>
      <c r="BG200">
        <f t="shared" si="135"/>
        <v>-110.01167831353321</v>
      </c>
      <c r="BH200">
        <f t="shared" si="150"/>
        <v>69.98832168646679</v>
      </c>
      <c r="BI200">
        <f t="shared" si="151"/>
        <v>69.98832168646679</v>
      </c>
      <c r="BJ200">
        <f t="shared" si="136"/>
        <v>0</v>
      </c>
      <c r="BK200">
        <f t="shared" si="152"/>
        <v>0</v>
      </c>
      <c r="BM200">
        <f t="shared" si="153"/>
        <v>-24.680910251361095</v>
      </c>
      <c r="BN200">
        <f t="shared" si="137"/>
        <v>-100.32043624738712</v>
      </c>
      <c r="BQ200" s="66">
        <f t="shared" si="154"/>
        <v>36.815624841968983</v>
      </c>
      <c r="BR200" s="71"/>
      <c r="BS200" s="71"/>
      <c r="BT200" s="71">
        <v>7943.2820000000002</v>
      </c>
      <c r="BU200" s="71">
        <v>-1.2307999999999999</v>
      </c>
      <c r="BV200" s="71">
        <v>-223.13499999999999</v>
      </c>
      <c r="BW200" s="75"/>
      <c r="BY200" s="71"/>
      <c r="BZ200" s="71"/>
      <c r="CA200" s="71"/>
      <c r="CC200" s="71"/>
    </row>
    <row r="201" spans="1:81" x14ac:dyDescent="0.2">
      <c r="A201">
        <f>A200+500</f>
        <v>83500</v>
      </c>
      <c r="B201">
        <f t="shared" si="138"/>
        <v>83.5</v>
      </c>
      <c r="C201">
        <f t="shared" ref="C201:C264" si="159">SQRT((A201/Fesr)^2+1)</f>
        <v>5.2893842167338159</v>
      </c>
      <c r="D201">
        <f t="shared" ref="D201:D264" si="160">ATAN(A201/Fesr)</f>
        <v>1.3805936463604633</v>
      </c>
      <c r="F201">
        <f t="shared" ref="F201:F264" si="161">(Ro/(Ro+Rdcr))/SQRT((A201/(Q*Fo))^2+(1-(A201^2/Fo^2))^2)</f>
        <v>7.3072239019783254E-4</v>
      </c>
      <c r="G201">
        <f t="shared" ref="G201:G264" si="162">-ATAN(A201*Fo/(Q*(Fo^2-A201^2)))</f>
        <v>1.1128078248067903E-2</v>
      </c>
      <c r="H201">
        <f t="shared" ref="H201:H264" si="163">IF(G201&gt;0,G201-Pi,G201)</f>
        <v>-3.1304645717519324</v>
      </c>
      <c r="J201">
        <f t="shared" ref="J201:J264" si="164">Vin/Vramp</f>
        <v>15</v>
      </c>
      <c r="M201">
        <f t="shared" ref="M201:M264" si="165">1/(2*Pi*_Rfb1*(Cc1ea_u+Cc2ea_u)*A201)</f>
        <v>4.0401187520357068E-2</v>
      </c>
      <c r="N201">
        <f t="shared" ref="N201:N264" si="166">-Pi/2</f>
        <v>-1.5707963250000001</v>
      </c>
      <c r="O201">
        <f t="shared" ref="O201:O264" si="167">SQRT(1+(A201/Fz1_u)^2)</f>
        <v>24.762504123524739</v>
      </c>
      <c r="P201">
        <f t="shared" ref="P201:P264" si="168">ATAN2(Fz1_u,A201)</f>
        <v>1.5304017043025615</v>
      </c>
      <c r="Q201">
        <f t="shared" ref="Q201:Q264" si="169">SQRT(1+(A201/Fz2_u)^2)</f>
        <v>34.294950352576116</v>
      </c>
      <c r="R201">
        <f t="shared" ref="R201:R264" si="170">ATAN2(Fz2_u,A201)</f>
        <v>1.5416333815212337</v>
      </c>
      <c r="S201">
        <f t="shared" ref="S201:S264" si="171">1/SQRT(1+(A201/Fp1_u)^2)</f>
        <v>0.30553862648693936</v>
      </c>
      <c r="T201">
        <f t="shared" ref="T201:T264" si="172">-ATAN2(Fp1_u,A201)</f>
        <v>-1.2602922714592486</v>
      </c>
      <c r="U201">
        <f t="shared" ref="U201:U264" si="173">1/SQRT(1+(A201/Fp2_u)^2)</f>
        <v>0.99995544594702879</v>
      </c>
      <c r="V201">
        <f t="shared" ref="V201:V264" si="174">-ATAN2(Fp2_u,A201)</f>
        <v>-9.4397440451548468E-3</v>
      </c>
      <c r="X201">
        <f t="shared" si="139"/>
        <v>-4.3257113840416173</v>
      </c>
      <c r="Y201">
        <f t="shared" ref="Y201:Y264" si="175">(180/Pi)*(D201+H201+N201+P201+R201+T201+V201)</f>
        <v>-86.99585938137902</v>
      </c>
      <c r="Z201">
        <f t="shared" si="140"/>
        <v>93.00414061862098</v>
      </c>
      <c r="AC201">
        <v>1</v>
      </c>
      <c r="AD201">
        <f t="shared" ref="AD201:AD264" si="176">Rcea1_u*Cc1ea_u*A201*2*Pi</f>
        <v>24.742304065458004</v>
      </c>
      <c r="AE201">
        <f t="shared" ref="AE201:AE264" si="177">-Rcea1_u*Cc1ea_u*Cc2ea_u*(A201*2*Pi)^2</f>
        <v>-1.2980950179550034E-5</v>
      </c>
      <c r="AF201">
        <f t="shared" ref="AF201:AF264" si="178">(Cc2ea_u+Cc1ea_u)*A201*2*Pi</f>
        <v>1.3750970940535501E-3</v>
      </c>
      <c r="AG201">
        <f t="shared" si="141"/>
        <v>17984.664718140168</v>
      </c>
      <c r="AH201">
        <f t="shared" si="142"/>
        <v>-896.99704990726593</v>
      </c>
      <c r="AJ201">
        <f t="shared" ref="AJ201:AJ264" si="179">_Rfb1</f>
        <v>18000</v>
      </c>
      <c r="AK201">
        <f t="shared" ref="AK201:AK264" si="180">_Rfb1*Rcea2_u*Cc3ea_u*A201*2*Pi</f>
        <v>56095.147385046002</v>
      </c>
      <c r="AL201">
        <v>1</v>
      </c>
      <c r="AM201">
        <f t="shared" ref="AM201:AM264" si="181">(_Rfb1+Rcea2_u)*Cc3ea_u*A201*2*Pi</f>
        <v>34.280367846417001</v>
      </c>
      <c r="AN201">
        <f t="shared" si="143"/>
        <v>1650.2765940073721</v>
      </c>
      <c r="AO201">
        <f t="shared" si="144"/>
        <v>-476.94130585887251</v>
      </c>
      <c r="AQ201">
        <f t="shared" ref="AQ201:AQ264" si="182">Eadcg/(1+(Eadcg*A201/GBP)^2)</f>
        <v>0.35855145213338113</v>
      </c>
      <c r="AR201">
        <f t="shared" ref="AR201:AR264" si="183">-(A201*Eadcg*Eadcg/GBP)/(1+(Eadcg*A201/GBP)^2)</f>
        <v>-59.878092506274648</v>
      </c>
      <c r="AT201">
        <f t="shared" si="156"/>
        <v>-47262.044681381587</v>
      </c>
      <c r="AU201">
        <f t="shared" si="157"/>
        <v>-1077209.0372819344</v>
      </c>
      <c r="AV201">
        <f t="shared" si="145"/>
        <v>-1.6146427409484732</v>
      </c>
      <c r="AW201">
        <f t="shared" si="146"/>
        <v>14013.482749202141</v>
      </c>
      <c r="AX201">
        <f t="shared" si="147"/>
        <v>-108043.49631582842</v>
      </c>
      <c r="AY201">
        <f t="shared" si="155"/>
        <v>-1.4418141521100634</v>
      </c>
      <c r="BA201">
        <f t="shared" ref="BA201:BA264" si="184">SQRT(AT201^2+AU201^2)/SQRT(AW201^2+AX201^2)</f>
        <v>9.8968354575299315</v>
      </c>
      <c r="BB201">
        <f t="shared" si="148"/>
        <v>19.909926996932292</v>
      </c>
      <c r="BC201">
        <f t="shared" si="149"/>
        <v>-0.17282858883840979</v>
      </c>
      <c r="BD201">
        <f t="shared" ref="BD201:BD264" si="185">BC201*180/Pi-180</f>
        <v>-189.90234873095778</v>
      </c>
      <c r="BF201">
        <f t="shared" ref="BF201:BF264" si="186">20*LOG(BA201*J201*F201*C201)</f>
        <v>-4.8250972255178253</v>
      </c>
      <c r="BG201">
        <f t="shared" ref="BG201:BG264" si="187">(180/Pi)*(D201+H201+BC201)</f>
        <v>-110.1625675631047</v>
      </c>
      <c r="BH201">
        <f t="shared" si="150"/>
        <v>69.837432436895298</v>
      </c>
      <c r="BI201">
        <f t="shared" si="151"/>
        <v>69.837432436895298</v>
      </c>
      <c r="BJ201">
        <f t="shared" ref="BJ201:BJ264" si="188">SUM((BF202&lt;0)*(BF201&gt;0))*A201</f>
        <v>0</v>
      </c>
      <c r="BK201">
        <f t="shared" si="152"/>
        <v>0</v>
      </c>
      <c r="BM201">
        <f t="shared" si="153"/>
        <v>-24.735024222450118</v>
      </c>
      <c r="BN201">
        <f t="shared" ref="BN201:BN264" si="189">(H201+D201)*180/Pi</f>
        <v>-100.26021883214693</v>
      </c>
      <c r="BQ201" s="66">
        <f t="shared" si="154"/>
        <v>36.81188779721743</v>
      </c>
      <c r="BR201" s="71"/>
      <c r="BS201" s="71"/>
      <c r="BT201" s="71">
        <v>8128.3050000000003</v>
      </c>
      <c r="BU201" s="71">
        <v>-1.3526100000000001</v>
      </c>
      <c r="BV201" s="71">
        <v>-221.982</v>
      </c>
      <c r="BW201" s="75"/>
      <c r="BY201" s="71"/>
      <c r="BZ201" s="71"/>
      <c r="CA201" s="71"/>
      <c r="CC201" s="71"/>
    </row>
    <row r="202" spans="1:81" x14ac:dyDescent="0.2">
      <c r="A202">
        <f t="shared" ref="A202:A234" si="190">A201+500</f>
        <v>84000</v>
      </c>
      <c r="B202">
        <f t="shared" ref="B202:B265" si="191">A202/1000</f>
        <v>84</v>
      </c>
      <c r="C202">
        <f t="shared" si="159"/>
        <v>5.3199283422951051</v>
      </c>
      <c r="D202">
        <f t="shared" si="160"/>
        <v>1.3816989313134669</v>
      </c>
      <c r="F202">
        <f t="shared" si="161"/>
        <v>7.2204341974618671E-4</v>
      </c>
      <c r="G202">
        <f t="shared" si="162"/>
        <v>1.106174835482682E-2</v>
      </c>
      <c r="H202">
        <f t="shared" si="163"/>
        <v>-3.1305309016451734</v>
      </c>
      <c r="J202">
        <f t="shared" si="164"/>
        <v>15</v>
      </c>
      <c r="M202">
        <f t="shared" si="165"/>
        <v>4.0160704261307328E-2</v>
      </c>
      <c r="N202">
        <f t="shared" si="166"/>
        <v>-1.5707963250000001</v>
      </c>
      <c r="O202">
        <f t="shared" si="167"/>
        <v>24.910541491669512</v>
      </c>
      <c r="P202">
        <f t="shared" si="168"/>
        <v>1.5306418893370828</v>
      </c>
      <c r="Q202">
        <f t="shared" si="169"/>
        <v>34.500135252274887</v>
      </c>
      <c r="R202">
        <f t="shared" si="170"/>
        <v>1.541806872951901</v>
      </c>
      <c r="S202">
        <f t="shared" si="171"/>
        <v>0.30388835225727862</v>
      </c>
      <c r="T202">
        <f t="shared" si="172"/>
        <v>-1.2620249448696883</v>
      </c>
      <c r="U202">
        <f t="shared" si="173"/>
        <v>0.99995491080420229</v>
      </c>
      <c r="V202">
        <f t="shared" si="174"/>
        <v>-9.4962660705001523E-3</v>
      </c>
      <c r="X202">
        <f t="shared" ref="X202:X265" si="192">20*LOG(C202*J202*O202*Q202*F202*M202*S202*U202)</f>
        <v>-4.3747977259454824</v>
      </c>
      <c r="Y202">
        <f t="shared" si="175"/>
        <v>-87.015143073028256</v>
      </c>
      <c r="Z202">
        <f t="shared" ref="Z202:Z265" si="193">Y202+180</f>
        <v>92.984856926971744</v>
      </c>
      <c r="AC202">
        <v>1</v>
      </c>
      <c r="AD202">
        <f t="shared" si="176"/>
        <v>24.890461574832003</v>
      </c>
      <c r="AE202">
        <f t="shared" si="177"/>
        <v>-1.3136876111284743E-5</v>
      </c>
      <c r="AF202">
        <f t="shared" si="178"/>
        <v>1.3833312083892E-3</v>
      </c>
      <c r="AG202">
        <f t="shared" ref="AG202:AG265" si="194">AC202*AE202/(AE202^2+AF202^2)+AD202*AF202/(AE202^2+AF202^2)</f>
        <v>17984.645468559054</v>
      </c>
      <c r="AH202">
        <f t="shared" ref="AH202:AH265" si="195">AD202*AE202/(AE202^2+AF202^2)-AC202*AF202/(AE202^2+AF202^2)</f>
        <v>-893.68478924536544</v>
      </c>
      <c r="AJ202">
        <f t="shared" si="179"/>
        <v>18000</v>
      </c>
      <c r="AK202">
        <f t="shared" si="180"/>
        <v>56431.046471183996</v>
      </c>
      <c r="AL202">
        <v>1</v>
      </c>
      <c r="AM202">
        <f t="shared" si="181"/>
        <v>34.485639510167999</v>
      </c>
      <c r="AN202">
        <f t="shared" ref="AN202:AN265" si="196">AJ202*AL202/(AL202^2+AM202^2)+AK202*AM202/(AL202^2+AM202^2)</f>
        <v>1650.1115952477678</v>
      </c>
      <c r="AO202">
        <f t="shared" ref="AO202:AO265" si="197">AK202*AL202/(AL202^2+AM202^2)-AJ202*AM202/(AL202^2+AM202^2)</f>
        <v>-474.10715407877279</v>
      </c>
      <c r="AQ202">
        <f t="shared" si="182"/>
        <v>0.35429583702391498</v>
      </c>
      <c r="AR202">
        <f t="shared" si="183"/>
        <v>-59.521700620017718</v>
      </c>
      <c r="AT202">
        <f t="shared" si="156"/>
        <v>-46821.753454264785</v>
      </c>
      <c r="AU202">
        <f t="shared" si="157"/>
        <v>-1070793.3121371716</v>
      </c>
      <c r="AV202">
        <f t="shared" ref="AV202:AV265" si="198">ATAN2(AT202,AU202)</f>
        <v>-1.6144947196686188</v>
      </c>
      <c r="AW202">
        <f t="shared" ref="AW202:AW265" si="199">AG202-AH202*AO202/_Rfb2+AG202*AN202/_Rfb2+AN202-AO202*AR202+AQ202*AN202</f>
        <v>14345.739145200028</v>
      </c>
      <c r="AX202">
        <f t="shared" ref="AX202:AX265" si="200">AH202+AH202*AN202/_Rfb2+AG202*AO202/_Rfb2+AO202+AO202*AQ202+AN202*AR202</f>
        <v>-107393.1183746007</v>
      </c>
      <c r="AY202">
        <f t="shared" si="155"/>
        <v>-1.4380009220382202</v>
      </c>
      <c r="BA202">
        <f t="shared" si="184"/>
        <v>9.8924386459442371</v>
      </c>
      <c r="BB202">
        <f t="shared" ref="BB202:BB265" si="201">20*LOG(BA202)</f>
        <v>19.906067308029964</v>
      </c>
      <c r="BC202">
        <f t="shared" ref="BC202:BC265" si="202">AV202-AY202</f>
        <v>-0.17649379763039863</v>
      </c>
      <c r="BD202">
        <f t="shared" si="185"/>
        <v>-190.11234972601292</v>
      </c>
      <c r="BF202">
        <f t="shared" si="186"/>
        <v>-4.8827255712331823</v>
      </c>
      <c r="BG202">
        <f t="shared" si="187"/>
        <v>-110.3130408180637</v>
      </c>
      <c r="BH202">
        <f t="shared" ref="BH202:BH265" si="203">IF(BG202&gt;180,BG202-180,BG202+180)</f>
        <v>69.686959181936302</v>
      </c>
      <c r="BI202">
        <f t="shared" ref="BI202:BI265" si="204">IF(BH202&gt;180,BH202-360,BH202)</f>
        <v>69.686959181936302</v>
      </c>
      <c r="BJ202">
        <f t="shared" si="188"/>
        <v>0</v>
      </c>
      <c r="BK202">
        <f t="shared" ref="BK202:BK265" si="205">IF(BJ202&gt;0,BI202,0)</f>
        <v>0</v>
      </c>
      <c r="BM202">
        <f t="shared" ref="BM202:BM265" si="206">20*LOG(J202*F202*C202)</f>
        <v>-24.788792879263148</v>
      </c>
      <c r="BN202">
        <f t="shared" si="189"/>
        <v>-100.20069109205076</v>
      </c>
      <c r="BQ202" s="66">
        <f t="shared" ref="BQ202:BQ265" si="207">20*LOG(BA202*7)</f>
        <v>36.808028108315099</v>
      </c>
      <c r="BR202" s="71"/>
      <c r="BS202" s="71"/>
      <c r="BT202" s="71">
        <v>8317.6380000000008</v>
      </c>
      <c r="BU202" s="71">
        <v>-1.29555</v>
      </c>
      <c r="BV202" s="71">
        <v>-220.93199999999999</v>
      </c>
      <c r="BW202" s="75"/>
      <c r="BY202" s="71"/>
      <c r="BZ202" s="71"/>
      <c r="CA202" s="71"/>
      <c r="CC202" s="71"/>
    </row>
    <row r="203" spans="1:81" x14ac:dyDescent="0.2">
      <c r="A203">
        <f t="shared" si="190"/>
        <v>84500</v>
      </c>
      <c r="B203">
        <f t="shared" si="191"/>
        <v>84.5</v>
      </c>
      <c r="C203">
        <f t="shared" si="159"/>
        <v>5.3504788927652971</v>
      </c>
      <c r="D203">
        <f t="shared" si="160"/>
        <v>1.3827915955170929</v>
      </c>
      <c r="F203">
        <f t="shared" si="161"/>
        <v>7.1351819297134442E-4</v>
      </c>
      <c r="G203">
        <f t="shared" si="162"/>
        <v>1.0996205039024426E-2</v>
      </c>
      <c r="H203">
        <f t="shared" si="163"/>
        <v>-3.1305964449609758</v>
      </c>
      <c r="J203">
        <f t="shared" si="164"/>
        <v>15</v>
      </c>
      <c r="M203">
        <f t="shared" si="165"/>
        <v>3.9923066957985975E-2</v>
      </c>
      <c r="N203">
        <f t="shared" si="166"/>
        <v>-1.5707963250000001</v>
      </c>
      <c r="O203">
        <f t="shared" si="167"/>
        <v>25.058580279895452</v>
      </c>
      <c r="P203">
        <f t="shared" si="168"/>
        <v>1.5308792364988122</v>
      </c>
      <c r="Q203">
        <f t="shared" si="169"/>
        <v>34.705321178123938</v>
      </c>
      <c r="R203">
        <f t="shared" si="170"/>
        <v>1.5419783129443474</v>
      </c>
      <c r="S203">
        <f t="shared" si="171"/>
        <v>0.30225491632659801</v>
      </c>
      <c r="T203">
        <f t="shared" si="172"/>
        <v>-1.263738996729884</v>
      </c>
      <c r="U203">
        <f t="shared" si="173"/>
        <v>0.99995437246736041</v>
      </c>
      <c r="V203">
        <f t="shared" si="174"/>
        <v>-9.5527880351675091E-3</v>
      </c>
      <c r="X203">
        <f t="shared" si="192"/>
        <v>-4.4236210081015646</v>
      </c>
      <c r="Y203">
        <f t="shared" si="175"/>
        <v>-87.034318009955697</v>
      </c>
      <c r="Z203">
        <f t="shared" si="193"/>
        <v>92.965681990044303</v>
      </c>
      <c r="AC203">
        <v>1</v>
      </c>
      <c r="AD203">
        <f t="shared" si="176"/>
        <v>25.038619084206001</v>
      </c>
      <c r="AE203">
        <f t="shared" si="177"/>
        <v>-1.3293732944104433E-5</v>
      </c>
      <c r="AF203">
        <f t="shared" si="178"/>
        <v>1.3915653227248501E-3</v>
      </c>
      <c r="AG203">
        <f t="shared" si="194"/>
        <v>17984.626104096638</v>
      </c>
      <c r="AH203">
        <f t="shared" si="195"/>
        <v>-890.42375251285989</v>
      </c>
      <c r="AJ203">
        <f t="shared" si="179"/>
        <v>18000</v>
      </c>
      <c r="AK203">
        <f t="shared" si="180"/>
        <v>56766.945557322004</v>
      </c>
      <c r="AL203">
        <v>1</v>
      </c>
      <c r="AM203">
        <f t="shared" si="181"/>
        <v>34.690911173918998</v>
      </c>
      <c r="AN203">
        <f t="shared" si="196"/>
        <v>1649.9495135435859</v>
      </c>
      <c r="AO203">
        <f t="shared" si="197"/>
        <v>-471.30645846940325</v>
      </c>
      <c r="AQ203">
        <f t="shared" si="182"/>
        <v>0.35011553812758212</v>
      </c>
      <c r="AR203">
        <f t="shared" si="183"/>
        <v>-59.169525943561375</v>
      </c>
      <c r="AT203">
        <f t="shared" si="156"/>
        <v>-46389.254278613778</v>
      </c>
      <c r="AU203">
        <f t="shared" si="157"/>
        <v>-1064453.5520428699</v>
      </c>
      <c r="AV203">
        <f t="shared" si="198"/>
        <v>-1.614349114420121</v>
      </c>
      <c r="AW203">
        <f t="shared" si="199"/>
        <v>14672.122252838672</v>
      </c>
      <c r="AX203">
        <f t="shared" si="200"/>
        <v>-106750.67187572988</v>
      </c>
      <c r="AY203">
        <f t="shared" ref="AY203:AY266" si="208">ATAN2(AW203,AX203)</f>
        <v>-1.4342092021559174</v>
      </c>
      <c r="BA203">
        <f t="shared" si="184"/>
        <v>9.88790661117776</v>
      </c>
      <c r="BB203">
        <f t="shared" si="201"/>
        <v>19.90208711921176</v>
      </c>
      <c r="BC203">
        <f t="shared" si="202"/>
        <v>-0.18013991226420356</v>
      </c>
      <c r="BD203">
        <f t="shared" si="185"/>
        <v>-190.32125670638956</v>
      </c>
      <c r="BF203">
        <f t="shared" si="186"/>
        <v>-4.9401335760945964</v>
      </c>
      <c r="BG203">
        <f t="shared" si="187"/>
        <v>-110.46309810645104</v>
      </c>
      <c r="BH203">
        <f t="shared" si="203"/>
        <v>69.536901893548958</v>
      </c>
      <c r="BI203">
        <f t="shared" si="204"/>
        <v>69.536901893548958</v>
      </c>
      <c r="BJ203">
        <f t="shared" si="188"/>
        <v>0</v>
      </c>
      <c r="BK203">
        <f t="shared" si="205"/>
        <v>0</v>
      </c>
      <c r="BM203">
        <f t="shared" si="206"/>
        <v>-24.842220695306352</v>
      </c>
      <c r="BN203">
        <f t="shared" si="189"/>
        <v>-100.14184140006149</v>
      </c>
      <c r="BQ203" s="66">
        <f t="shared" si="207"/>
        <v>36.804047919496895</v>
      </c>
      <c r="BR203" s="71"/>
      <c r="BS203" s="71"/>
      <c r="BT203" s="71">
        <v>8511.3799999999992</v>
      </c>
      <c r="BU203" s="71">
        <v>-1.5137499999999999</v>
      </c>
      <c r="BV203" s="71">
        <v>-219.99600000000001</v>
      </c>
      <c r="BW203" s="75"/>
      <c r="BY203" s="71"/>
      <c r="BZ203" s="71"/>
      <c r="CA203" s="71"/>
      <c r="CC203" s="71"/>
    </row>
    <row r="204" spans="1:81" x14ac:dyDescent="0.2">
      <c r="A204">
        <f t="shared" si="190"/>
        <v>85000</v>
      </c>
      <c r="B204">
        <f t="shared" si="191"/>
        <v>85</v>
      </c>
      <c r="C204">
        <f t="shared" si="159"/>
        <v>5.3810357587131366</v>
      </c>
      <c r="D204">
        <f t="shared" si="160"/>
        <v>1.3838718513451549</v>
      </c>
      <c r="F204">
        <f t="shared" si="161"/>
        <v>7.0514309909799249E-4</v>
      </c>
      <c r="G204">
        <f t="shared" si="162"/>
        <v>1.0931434382334111E-2</v>
      </c>
      <c r="H204">
        <f t="shared" si="163"/>
        <v>-3.1306612156176663</v>
      </c>
      <c r="J204">
        <f t="shared" si="164"/>
        <v>15</v>
      </c>
      <c r="M204">
        <f t="shared" si="165"/>
        <v>3.9688225387644889E-2</v>
      </c>
      <c r="N204">
        <f t="shared" si="166"/>
        <v>-1.5707963250000001</v>
      </c>
      <c r="O204">
        <f t="shared" si="167"/>
        <v>25.20662046318208</v>
      </c>
      <c r="P204">
        <f t="shared" si="168"/>
        <v>1.5311137957618253</v>
      </c>
      <c r="Q204">
        <f t="shared" si="169"/>
        <v>34.910508112029746</v>
      </c>
      <c r="R204">
        <f t="shared" si="170"/>
        <v>1.5421477376604644</v>
      </c>
      <c r="S204">
        <f t="shared" si="171"/>
        <v>0.30063807718910118</v>
      </c>
      <c r="T204">
        <f t="shared" si="172"/>
        <v>-1.2654347157209382</v>
      </c>
      <c r="U204">
        <f t="shared" si="173"/>
        <v>0.99995383093651813</v>
      </c>
      <c r="V204">
        <f t="shared" si="174"/>
        <v>-9.6093099387958708E-3</v>
      </c>
      <c r="X204">
        <f t="shared" si="192"/>
        <v>-4.4721839326787558</v>
      </c>
      <c r="Y204">
        <f t="shared" si="175"/>
        <v>-87.053384426460255</v>
      </c>
      <c r="Z204">
        <f t="shared" si="193"/>
        <v>92.946615573539745</v>
      </c>
      <c r="AC204">
        <v>1</v>
      </c>
      <c r="AD204">
        <f t="shared" si="176"/>
        <v>25.186776593580003</v>
      </c>
      <c r="AE204">
        <f t="shared" si="177"/>
        <v>-1.345152067800911E-5</v>
      </c>
      <c r="AF204">
        <f t="shared" si="178"/>
        <v>1.3997994370605002E-3</v>
      </c>
      <c r="AG204">
        <f t="shared" si="194"/>
        <v>17984.60662475368</v>
      </c>
      <c r="AH204">
        <f t="shared" si="195"/>
        <v>-887.21303568080896</v>
      </c>
      <c r="AJ204">
        <f t="shared" si="179"/>
        <v>18000</v>
      </c>
      <c r="AK204">
        <f t="shared" si="180"/>
        <v>57102.844643459997</v>
      </c>
      <c r="AL204">
        <v>1</v>
      </c>
      <c r="AM204">
        <f t="shared" si="181"/>
        <v>34.896182837669997</v>
      </c>
      <c r="AN204">
        <f t="shared" si="196"/>
        <v>1649.7902805546553</v>
      </c>
      <c r="AO204">
        <f t="shared" si="197"/>
        <v>-468.53863058613661</v>
      </c>
      <c r="AQ204">
        <f t="shared" si="182"/>
        <v>0.34600878862323103</v>
      </c>
      <c r="AR204">
        <f t="shared" si="183"/>
        <v>-58.821494065949274</v>
      </c>
      <c r="AT204">
        <f t="shared" si="156"/>
        <v>-45964.364361435189</v>
      </c>
      <c r="AU204">
        <f t="shared" si="157"/>
        <v>-1058188.4153641071</v>
      </c>
      <c r="AV204">
        <f t="shared" si="198"/>
        <v>-1.6142058826713868</v>
      </c>
      <c r="AW204">
        <f t="shared" si="199"/>
        <v>14992.76961250248</v>
      </c>
      <c r="AX204">
        <f t="shared" si="200"/>
        <v>-106116.01201664904</v>
      </c>
      <c r="AY204">
        <f t="shared" si="208"/>
        <v>-1.4304387500678672</v>
      </c>
      <c r="BA204">
        <f t="shared" si="184"/>
        <v>9.8832419237896421</v>
      </c>
      <c r="BB204">
        <f t="shared" si="201"/>
        <v>19.897988524683537</v>
      </c>
      <c r="BC204">
        <f t="shared" si="202"/>
        <v>-0.18376713260351951</v>
      </c>
      <c r="BD204">
        <f t="shared" si="185"/>
        <v>-190.52908112343385</v>
      </c>
      <c r="BF204">
        <f t="shared" si="186"/>
        <v>-4.9973235319503821</v>
      </c>
      <c r="BG204">
        <f t="shared" si="187"/>
        <v>-110.61273950895115</v>
      </c>
      <c r="BH204">
        <f t="shared" si="203"/>
        <v>69.387260491048849</v>
      </c>
      <c r="BI204">
        <f t="shared" si="204"/>
        <v>69.387260491048849</v>
      </c>
      <c r="BJ204">
        <f t="shared" si="188"/>
        <v>0</v>
      </c>
      <c r="BK204">
        <f t="shared" si="205"/>
        <v>0</v>
      </c>
      <c r="BM204">
        <f t="shared" si="206"/>
        <v>-24.895312056633916</v>
      </c>
      <c r="BN204">
        <f t="shared" si="189"/>
        <v>-100.08365838551731</v>
      </c>
      <c r="BQ204" s="66">
        <f t="shared" si="207"/>
        <v>36.799949324968672</v>
      </c>
      <c r="BR204" s="71"/>
      <c r="BS204" s="71"/>
      <c r="BT204" s="71">
        <v>8709.6360000000004</v>
      </c>
      <c r="BU204" s="71">
        <v>-1.62094</v>
      </c>
      <c r="BV204" s="71">
        <v>-218.72200000000001</v>
      </c>
      <c r="BW204" s="75"/>
      <c r="BY204" s="71"/>
      <c r="BZ204" s="71"/>
      <c r="CA204" s="71"/>
      <c r="CC204" s="71"/>
    </row>
    <row r="205" spans="1:81" x14ac:dyDescent="0.2">
      <c r="A205">
        <f t="shared" si="190"/>
        <v>85500</v>
      </c>
      <c r="B205">
        <f t="shared" si="191"/>
        <v>85.5</v>
      </c>
      <c r="C205">
        <f t="shared" si="159"/>
        <v>5.411598833156634</v>
      </c>
      <c r="D205">
        <f t="shared" si="160"/>
        <v>1.3849399064911072</v>
      </c>
      <c r="F205">
        <f t="shared" si="161"/>
        <v>6.9691463275609066E-4</v>
      </c>
      <c r="G205">
        <f t="shared" si="162"/>
        <v>1.0867422793093809E-2</v>
      </c>
      <c r="H205">
        <f t="shared" si="163"/>
        <v>-3.1307252272069066</v>
      </c>
      <c r="J205">
        <f t="shared" si="164"/>
        <v>15</v>
      </c>
      <c r="M205">
        <f t="shared" si="165"/>
        <v>3.9456130502337025E-2</v>
      </c>
      <c r="N205">
        <f t="shared" si="166"/>
        <v>-1.5707963250000001</v>
      </c>
      <c r="O205">
        <f t="shared" si="167"/>
        <v>25.354662017093062</v>
      </c>
      <c r="P205">
        <f t="shared" si="168"/>
        <v>1.5313456159342809</v>
      </c>
      <c r="Q205">
        <f t="shared" si="169"/>
        <v>35.115696036321545</v>
      </c>
      <c r="R205">
        <f t="shared" si="170"/>
        <v>1.5423151824174075</v>
      </c>
      <c r="S205">
        <f t="shared" si="171"/>
        <v>0.29903759759568477</v>
      </c>
      <c r="T205">
        <f t="shared" si="172"/>
        <v>-1.267112384803377</v>
      </c>
      <c r="U205">
        <f t="shared" si="173"/>
        <v>0.99995328621169133</v>
      </c>
      <c r="V205">
        <f t="shared" si="174"/>
        <v>-9.6658317810241912E-3</v>
      </c>
      <c r="X205">
        <f t="shared" si="192"/>
        <v>-4.5204891613054361</v>
      </c>
      <c r="Y205">
        <f t="shared" si="175"/>
        <v>-87.072342593726191</v>
      </c>
      <c r="Z205">
        <f t="shared" si="193"/>
        <v>92.927657406273809</v>
      </c>
      <c r="AC205">
        <v>1</v>
      </c>
      <c r="AD205">
        <f t="shared" si="176"/>
        <v>25.334934102954005</v>
      </c>
      <c r="AE205">
        <f t="shared" si="177"/>
        <v>-1.3610239312998766E-5</v>
      </c>
      <c r="AF205">
        <f t="shared" si="178"/>
        <v>1.40803355139615E-3</v>
      </c>
      <c r="AG205">
        <f t="shared" si="194"/>
        <v>17984.587030530911</v>
      </c>
      <c r="AH205">
        <f t="shared" si="195"/>
        <v>-884.05175586669134</v>
      </c>
      <c r="AJ205">
        <f t="shared" si="179"/>
        <v>18000</v>
      </c>
      <c r="AK205">
        <f t="shared" si="180"/>
        <v>57438.743729597991</v>
      </c>
      <c r="AL205">
        <v>1</v>
      </c>
      <c r="AM205">
        <f t="shared" si="181"/>
        <v>35.101454501420996</v>
      </c>
      <c r="AN205">
        <f t="shared" si="196"/>
        <v>1649.6338299299346</v>
      </c>
      <c r="AO205">
        <f t="shared" si="197"/>
        <v>-465.80309569246373</v>
      </c>
      <c r="AQ205">
        <f t="shared" si="182"/>
        <v>0.3419738731960878</v>
      </c>
      <c r="AR205">
        <f t="shared" si="183"/>
        <v>-58.477532316531018</v>
      </c>
      <c r="AT205">
        <f t="shared" si="156"/>
        <v>-45546.906238517651</v>
      </c>
      <c r="AU205">
        <f t="shared" si="157"/>
        <v>-1051996.5918803955</v>
      </c>
      <c r="AV205">
        <f t="shared" si="198"/>
        <v>-1.6140649828826479</v>
      </c>
      <c r="AW205">
        <f t="shared" si="199"/>
        <v>15307.814763080381</v>
      </c>
      <c r="AX205">
        <f t="shared" si="200"/>
        <v>-105488.9975219023</v>
      </c>
      <c r="AY205">
        <f t="shared" si="208"/>
        <v>-1.4266893278529384</v>
      </c>
      <c r="BA205">
        <f t="shared" si="184"/>
        <v>9.8784471000747356</v>
      </c>
      <c r="BB205">
        <f t="shared" si="201"/>
        <v>19.8937735701431</v>
      </c>
      <c r="BC205">
        <f t="shared" si="202"/>
        <v>-0.18737565502970943</v>
      </c>
      <c r="BD205">
        <f t="shared" si="185"/>
        <v>-190.73583422896908</v>
      </c>
      <c r="BF205">
        <f t="shared" si="186"/>
        <v>-5.0542976939809119</v>
      </c>
      <c r="BG205">
        <f t="shared" si="187"/>
        <v>-110.76196515617374</v>
      </c>
      <c r="BH205">
        <f t="shared" si="203"/>
        <v>69.238034843826256</v>
      </c>
      <c r="BI205">
        <f t="shared" si="204"/>
        <v>69.238034843826256</v>
      </c>
      <c r="BJ205">
        <f t="shared" si="188"/>
        <v>0</v>
      </c>
      <c r="BK205">
        <f t="shared" si="205"/>
        <v>0</v>
      </c>
      <c r="BM205">
        <f t="shared" si="206"/>
        <v>-24.94807126412401</v>
      </c>
      <c r="BN205">
        <f t="shared" si="189"/>
        <v>-100.02613092720466</v>
      </c>
      <c r="BQ205" s="66">
        <f t="shared" si="207"/>
        <v>36.795734370428235</v>
      </c>
      <c r="BR205" s="71"/>
      <c r="BS205" s="71"/>
      <c r="BT205" s="71">
        <v>8912.509</v>
      </c>
      <c r="BU205" s="71">
        <v>-1.6954</v>
      </c>
      <c r="BV205" s="71">
        <v>-217.619</v>
      </c>
      <c r="BW205" s="75"/>
      <c r="BY205" s="71"/>
      <c r="BZ205" s="71"/>
      <c r="CA205" s="71"/>
      <c r="CC205" s="71"/>
    </row>
    <row r="206" spans="1:81" x14ac:dyDescent="0.2">
      <c r="A206">
        <f t="shared" si="190"/>
        <v>86000</v>
      </c>
      <c r="B206">
        <f t="shared" si="191"/>
        <v>86</v>
      </c>
      <c r="C206">
        <f t="shared" si="159"/>
        <v>5.4421680114955384</v>
      </c>
      <c r="D206">
        <f t="shared" si="160"/>
        <v>1.3859959640946389</v>
      </c>
      <c r="F206">
        <f t="shared" si="161"/>
        <v>6.8882939030917101E-4</v>
      </c>
      <c r="G206">
        <f t="shared" si="162"/>
        <v>1.0804156996772205E-2</v>
      </c>
      <c r="H206">
        <f t="shared" si="163"/>
        <v>-3.1307884930032279</v>
      </c>
      <c r="J206">
        <f t="shared" si="164"/>
        <v>15</v>
      </c>
      <c r="M206">
        <f t="shared" si="165"/>
        <v>3.9226734394765296E-2</v>
      </c>
      <c r="N206">
        <f t="shared" si="166"/>
        <v>-1.5707963250000001</v>
      </c>
      <c r="O206">
        <f t="shared" si="167"/>
        <v>25.50270491775925</v>
      </c>
      <c r="P206">
        <f t="shared" si="168"/>
        <v>1.5315747446922079</v>
      </c>
      <c r="Q206">
        <f t="shared" si="169"/>
        <v>35.320884933739151</v>
      </c>
      <c r="R206">
        <f t="shared" si="170"/>
        <v>1.5424806817121144</v>
      </c>
      <c r="S206">
        <f t="shared" si="171"/>
        <v>0.2974532444706019</v>
      </c>
      <c r="T206">
        <f t="shared" si="172"/>
        <v>-1.2687722813522497</v>
      </c>
      <c r="U206">
        <f t="shared" si="173"/>
        <v>0.99995273829289544</v>
      </c>
      <c r="V206">
        <f t="shared" si="174"/>
        <v>-9.722353561491431E-3</v>
      </c>
      <c r="X206">
        <f t="shared" si="192"/>
        <v>-4.5685393158817735</v>
      </c>
      <c r="Y206">
        <f t="shared" si="175"/>
        <v>-87.091192817516117</v>
      </c>
      <c r="Z206">
        <f t="shared" si="193"/>
        <v>92.908807182483883</v>
      </c>
      <c r="AC206">
        <v>1</v>
      </c>
      <c r="AD206">
        <f t="shared" si="176"/>
        <v>25.483091612328003</v>
      </c>
      <c r="AE206">
        <f t="shared" si="177"/>
        <v>-1.3769888849073406E-5</v>
      </c>
      <c r="AF206">
        <f t="shared" si="178"/>
        <v>1.4162676657318001E-3</v>
      </c>
      <c r="AG206">
        <f t="shared" si="194"/>
        <v>17984.567321429087</v>
      </c>
      <c r="AH206">
        <f t="shared" si="195"/>
        <v>-880.93905071968516</v>
      </c>
      <c r="AJ206">
        <f t="shared" si="179"/>
        <v>18000</v>
      </c>
      <c r="AK206">
        <f t="shared" si="180"/>
        <v>57774.642815735999</v>
      </c>
      <c r="AL206">
        <v>1</v>
      </c>
      <c r="AM206">
        <f t="shared" si="181"/>
        <v>35.306726165172002</v>
      </c>
      <c r="AN206">
        <f t="shared" si="196"/>
        <v>1649.480097238456</v>
      </c>
      <c r="AO206">
        <f t="shared" si="197"/>
        <v>-463.09929236345812</v>
      </c>
      <c r="AQ206">
        <f t="shared" si="182"/>
        <v>0.33800912624640866</v>
      </c>
      <c r="AR206">
        <f t="shared" si="183"/>
        <v>-58.137569714382288</v>
      </c>
      <c r="AT206">
        <f t="shared" si="156"/>
        <v>-45136.70758910149</v>
      </c>
      <c r="AU206">
        <f t="shared" si="157"/>
        <v>-1045876.8018713952</v>
      </c>
      <c r="AV206">
        <f t="shared" si="198"/>
        <v>-1.613926374477235</v>
      </c>
      <c r="AW206">
        <f t="shared" si="199"/>
        <v>15617.387380809761</v>
      </c>
      <c r="AX206">
        <f t="shared" si="200"/>
        <v>-104869.49053578383</v>
      </c>
      <c r="AY206">
        <f t="shared" si="208"/>
        <v>-1.4229607019633794</v>
      </c>
      <c r="BA206">
        <f t="shared" si="184"/>
        <v>9.8735246035393196</v>
      </c>
      <c r="BB206">
        <f t="shared" si="201"/>
        <v>19.889444254247234</v>
      </c>
      <c r="BC206">
        <f t="shared" si="202"/>
        <v>-0.19096567251385554</v>
      </c>
      <c r="BD206">
        <f t="shared" si="185"/>
        <v>-190.94152707942388</v>
      </c>
      <c r="BF206">
        <f t="shared" si="186"/>
        <v>-5.1110582814340653</v>
      </c>
      <c r="BG206">
        <f t="shared" si="187"/>
        <v>-110.91077522607522</v>
      </c>
      <c r="BH206">
        <f t="shared" si="203"/>
        <v>69.089224773924784</v>
      </c>
      <c r="BI206">
        <f t="shared" si="204"/>
        <v>69.089224773924784</v>
      </c>
      <c r="BJ206">
        <f t="shared" si="188"/>
        <v>0</v>
      </c>
      <c r="BK206">
        <f t="shared" si="205"/>
        <v>0</v>
      </c>
      <c r="BM206">
        <f t="shared" si="206"/>
        <v>-25.000502535681299</v>
      </c>
      <c r="BN206">
        <f t="shared" si="189"/>
        <v>-99.969248146651339</v>
      </c>
      <c r="BQ206" s="66">
        <f t="shared" si="207"/>
        <v>36.791405054532376</v>
      </c>
      <c r="BR206" s="71"/>
      <c r="BS206" s="71"/>
      <c r="BT206" s="71">
        <v>9120.1080000000002</v>
      </c>
      <c r="BU206" s="71">
        <v>-1.76502</v>
      </c>
      <c r="BV206" s="71">
        <v>-216.501</v>
      </c>
      <c r="BW206" s="75"/>
      <c r="BY206" s="71"/>
      <c r="BZ206" s="71"/>
      <c r="CA206" s="71"/>
      <c r="CC206" s="71"/>
    </row>
    <row r="207" spans="1:81" x14ac:dyDescent="0.2">
      <c r="A207">
        <f t="shared" si="190"/>
        <v>86500</v>
      </c>
      <c r="B207">
        <f t="shared" si="191"/>
        <v>86.5</v>
      </c>
      <c r="C207">
        <f t="shared" si="159"/>
        <v>5.4727431914460087</v>
      </c>
      <c r="D207">
        <f t="shared" si="160"/>
        <v>1.3870402228642349</v>
      </c>
      <c r="F207">
        <f t="shared" si="161"/>
        <v>6.8088406633102464E-4</v>
      </c>
      <c r="G207">
        <f t="shared" si="162"/>
        <v>1.0741624026767095E-2</v>
      </c>
      <c r="H207">
        <f t="shared" si="163"/>
        <v>-3.1308510259732332</v>
      </c>
      <c r="J207">
        <f t="shared" si="164"/>
        <v>15</v>
      </c>
      <c r="M207">
        <f t="shared" si="165"/>
        <v>3.8999990265315782E-2</v>
      </c>
      <c r="N207">
        <f t="shared" si="166"/>
        <v>-1.5707963250000001</v>
      </c>
      <c r="O207">
        <f t="shared" si="167"/>
        <v>25.650749141862303</v>
      </c>
      <c r="P207">
        <f t="shared" si="168"/>
        <v>1.5318012286121254</v>
      </c>
      <c r="Q207">
        <f t="shared" si="169"/>
        <v>35.526074787421024</v>
      </c>
      <c r="R207">
        <f t="shared" si="170"/>
        <v>1.5426442692449704</v>
      </c>
      <c r="S207">
        <f t="shared" si="171"/>
        <v>0.29588478882969921</v>
      </c>
      <c r="T207">
        <f t="shared" si="172"/>
        <v>-1.2704146772886153</v>
      </c>
      <c r="U207">
        <f t="shared" si="173"/>
        <v>0.99995218718014645</v>
      </c>
      <c r="V207">
        <f t="shared" si="174"/>
        <v>-9.7788752798365491E-3</v>
      </c>
      <c r="X207">
        <f t="shared" si="192"/>
        <v>-4.6163369793708329</v>
      </c>
      <c r="Y207">
        <f t="shared" si="175"/>
        <v>-87.10993543598461</v>
      </c>
      <c r="Z207">
        <f t="shared" si="193"/>
        <v>92.89006456401539</v>
      </c>
      <c r="AC207">
        <v>1</v>
      </c>
      <c r="AD207">
        <f t="shared" si="176"/>
        <v>25.631249121702002</v>
      </c>
      <c r="AE207">
        <f t="shared" si="177"/>
        <v>-1.3930469286233024E-5</v>
      </c>
      <c r="AF207">
        <f t="shared" si="178"/>
        <v>1.42450178006745E-3</v>
      </c>
      <c r="AG207">
        <f t="shared" si="194"/>
        <v>17984.547497448959</v>
      </c>
      <c r="AH207">
        <f t="shared" si="195"/>
        <v>-877.87407782726609</v>
      </c>
      <c r="AJ207">
        <f t="shared" si="179"/>
        <v>18000</v>
      </c>
      <c r="AK207">
        <f t="shared" si="180"/>
        <v>58110.541901873992</v>
      </c>
      <c r="AL207">
        <v>1</v>
      </c>
      <c r="AM207">
        <f t="shared" si="181"/>
        <v>35.511997828922993</v>
      </c>
      <c r="AN207">
        <f t="shared" si="196"/>
        <v>1649.329019903053</v>
      </c>
      <c r="AO207">
        <f t="shared" si="197"/>
        <v>-460.42667210291467</v>
      </c>
      <c r="AQ207">
        <f t="shared" si="182"/>
        <v>0.33411293017039762</v>
      </c>
      <c r="AR207">
        <f t="shared" si="183"/>
        <v>-57.801536919478785</v>
      </c>
      <c r="AT207">
        <f t="shared" si="156"/>
        <v>-44733.601058024746</v>
      </c>
      <c r="AU207">
        <f t="shared" si="157"/>
        <v>-1039827.7952343792</v>
      </c>
      <c r="AV207">
        <f t="shared" si="198"/>
        <v>-1.6137900178138425</v>
      </c>
      <c r="AW207">
        <f t="shared" si="199"/>
        <v>15921.613412533885</v>
      </c>
      <c r="AX207">
        <f t="shared" si="200"/>
        <v>-104257.35651889362</v>
      </c>
      <c r="AY207">
        <f t="shared" si="208"/>
        <v>-1.4192526431264332</v>
      </c>
      <c r="BA207">
        <f t="shared" si="184"/>
        <v>9.8684768463295462</v>
      </c>
      <c r="BB207">
        <f t="shared" si="201"/>
        <v>19.88500253002686</v>
      </c>
      <c r="BC207">
        <f t="shared" si="202"/>
        <v>-0.19453737468740928</v>
      </c>
      <c r="BD207">
        <f t="shared" si="185"/>
        <v>-191.14617053988005</v>
      </c>
      <c r="BF207">
        <f t="shared" si="186"/>
        <v>-5.1676074783418411</v>
      </c>
      <c r="BG207">
        <f t="shared" si="187"/>
        <v>-111.05916994151146</v>
      </c>
      <c r="BH207">
        <f t="shared" si="203"/>
        <v>68.940830058488544</v>
      </c>
      <c r="BI207">
        <f t="shared" si="204"/>
        <v>68.940830058488544</v>
      </c>
      <c r="BJ207">
        <f t="shared" si="188"/>
        <v>0</v>
      </c>
      <c r="BK207">
        <f t="shared" si="205"/>
        <v>0</v>
      </c>
      <c r="BM207">
        <f t="shared" si="206"/>
        <v>-25.052610008368706</v>
      </c>
      <c r="BN207">
        <f t="shared" si="189"/>
        <v>-99.912999401631424</v>
      </c>
      <c r="BQ207" s="66">
        <f t="shared" si="207"/>
        <v>36.786963330311998</v>
      </c>
      <c r="BR207" s="71"/>
      <c r="BS207" s="71"/>
      <c r="BT207" s="71">
        <v>9332.5429999999997</v>
      </c>
      <c r="BU207" s="71">
        <v>-1.99203</v>
      </c>
      <c r="BV207" s="71">
        <v>-215.83600000000001</v>
      </c>
      <c r="BW207" s="75"/>
      <c r="BY207" s="71"/>
      <c r="BZ207" s="71"/>
      <c r="CA207" s="71"/>
      <c r="CC207" s="71"/>
    </row>
    <row r="208" spans="1:81" x14ac:dyDescent="0.2">
      <c r="A208">
        <f t="shared" si="190"/>
        <v>87000</v>
      </c>
      <c r="B208">
        <f t="shared" si="191"/>
        <v>87</v>
      </c>
      <c r="C208">
        <f t="shared" si="159"/>
        <v>5.5033242729774043</v>
      </c>
      <c r="D208">
        <f t="shared" si="160"/>
        <v>1.3880728771958533</v>
      </c>
      <c r="F208">
        <f t="shared" si="161"/>
        <v>6.7307545022395824E-4</v>
      </c>
      <c r="G208">
        <f t="shared" si="162"/>
        <v>1.0679811215522503E-2</v>
      </c>
      <c r="H208">
        <f t="shared" si="163"/>
        <v>-3.1309128387844778</v>
      </c>
      <c r="J208">
        <f t="shared" si="164"/>
        <v>15</v>
      </c>
      <c r="M208">
        <f t="shared" si="165"/>
        <v>3.8775852390227766E-2</v>
      </c>
      <c r="N208">
        <f t="shared" si="166"/>
        <v>-1.5707963250000001</v>
      </c>
      <c r="O208">
        <f t="shared" si="167"/>
        <v>25.798794666618932</v>
      </c>
      <c r="P208">
        <f t="shared" si="168"/>
        <v>1.5320251132025409</v>
      </c>
      <c r="Q208">
        <f t="shared" si="169"/>
        <v>35.731265580892888</v>
      </c>
      <c r="R208">
        <f t="shared" si="170"/>
        <v>1.5428059779426637</v>
      </c>
      <c r="S208">
        <f t="shared" si="171"/>
        <v>0.29433200570021306</v>
      </c>
      <c r="T208">
        <f t="shared" si="172"/>
        <v>-1.272039839207517</v>
      </c>
      <c r="U208">
        <f t="shared" si="173"/>
        <v>0.99995163287346023</v>
      </c>
      <c r="V208">
        <f t="shared" si="174"/>
        <v>-9.835396935698508E-3</v>
      </c>
      <c r="X208">
        <f t="shared" si="192"/>
        <v>-4.6638846965690508</v>
      </c>
      <c r="Y208">
        <f t="shared" si="175"/>
        <v>-87.128570817605635</v>
      </c>
      <c r="Z208">
        <f t="shared" si="193"/>
        <v>92.871429182394365</v>
      </c>
      <c r="AC208">
        <v>1</v>
      </c>
      <c r="AD208">
        <f t="shared" si="176"/>
        <v>25.779406631076004</v>
      </c>
      <c r="AE208">
        <f t="shared" si="177"/>
        <v>-1.4091980624477633E-5</v>
      </c>
      <c r="AF208">
        <f t="shared" si="178"/>
        <v>1.4327358944031001E-3</v>
      </c>
      <c r="AG208">
        <f t="shared" si="194"/>
        <v>17984.527558591293</v>
      </c>
      <c r="AH208">
        <f t="shared" si="195"/>
        <v>-874.85601414226733</v>
      </c>
      <c r="AJ208">
        <f t="shared" si="179"/>
        <v>18000</v>
      </c>
      <c r="AK208">
        <f t="shared" si="180"/>
        <v>58446.440988012</v>
      </c>
      <c r="AL208">
        <v>1</v>
      </c>
      <c r="AM208">
        <f t="shared" si="181"/>
        <v>35.717269492673999</v>
      </c>
      <c r="AN208">
        <f t="shared" si="196"/>
        <v>1649.1805371367348</v>
      </c>
      <c r="AO208">
        <f t="shared" si="197"/>
        <v>-457.78469897361543</v>
      </c>
      <c r="AQ208">
        <f t="shared" si="182"/>
        <v>0.33028371371007698</v>
      </c>
      <c r="AR208">
        <f t="shared" si="183"/>
        <v>-57.46936618555339</v>
      </c>
      <c r="AT208">
        <f t="shared" si="156"/>
        <v>-44337.42408500288</v>
      </c>
      <c r="AU208">
        <f t="shared" si="157"/>
        <v>-1033848.350632172</v>
      </c>
      <c r="AV208">
        <f t="shared" si="198"/>
        <v>-1.6136558741597471</v>
      </c>
      <c r="AW208">
        <f t="shared" si="199"/>
        <v>16220.615203628538</v>
      </c>
      <c r="AX208">
        <f t="shared" si="200"/>
        <v>-103652.4641484435</v>
      </c>
      <c r="AY208">
        <f t="shared" si="208"/>
        <v>-1.4155649262482863</v>
      </c>
      <c r="BA208">
        <f t="shared" si="184"/>
        <v>9.8633061906143062</v>
      </c>
      <c r="BB208">
        <f t="shared" si="201"/>
        <v>19.880450306252364</v>
      </c>
      <c r="BC208">
        <f t="shared" si="202"/>
        <v>-0.19809094791146076</v>
      </c>
      <c r="BD208">
        <f t="shared" si="185"/>
        <v>-191.34977528804154</v>
      </c>
      <c r="BF208">
        <f t="shared" si="186"/>
        <v>-5.2239474342187897</v>
      </c>
      <c r="BG208">
        <f t="shared" si="187"/>
        <v>-111.20714956791592</v>
      </c>
      <c r="BH208">
        <f t="shared" si="203"/>
        <v>68.79285043208408</v>
      </c>
      <c r="BI208">
        <f t="shared" si="204"/>
        <v>68.79285043208408</v>
      </c>
      <c r="BJ208">
        <f t="shared" si="188"/>
        <v>0</v>
      </c>
      <c r="BK208">
        <f t="shared" si="205"/>
        <v>0</v>
      </c>
      <c r="BM208">
        <f t="shared" si="206"/>
        <v>-25.10439774047115</v>
      </c>
      <c r="BN208">
        <f t="shared" si="189"/>
        <v>-99.857374279874378</v>
      </c>
      <c r="BQ208" s="66">
        <f t="shared" si="207"/>
        <v>36.782411106537495</v>
      </c>
      <c r="BR208" s="71"/>
      <c r="BS208" s="71"/>
      <c r="BT208" s="71">
        <v>9549.9259999999995</v>
      </c>
      <c r="BU208" s="71">
        <v>-2.1278299999999999</v>
      </c>
      <c r="BV208" s="71">
        <v>-215.499</v>
      </c>
      <c r="BW208" s="75"/>
      <c r="BY208" s="71"/>
      <c r="BZ208" s="71"/>
      <c r="CA208" s="71"/>
      <c r="CC208" s="71"/>
    </row>
    <row r="209" spans="1:81" x14ac:dyDescent="0.2">
      <c r="A209">
        <f t="shared" si="190"/>
        <v>87500</v>
      </c>
      <c r="B209">
        <f t="shared" si="191"/>
        <v>87.5</v>
      </c>
      <c r="C209">
        <f t="shared" si="159"/>
        <v>5.5339111582511125</v>
      </c>
      <c r="D209">
        <f t="shared" si="160"/>
        <v>1.3890941172878581</v>
      </c>
      <c r="F209">
        <f t="shared" si="161"/>
        <v>6.6540042297215602E-4</v>
      </c>
      <c r="G209">
        <f t="shared" si="162"/>
        <v>1.0618706185951695E-2</v>
      </c>
      <c r="H209">
        <f t="shared" si="163"/>
        <v>-3.1309739438140487</v>
      </c>
      <c r="J209">
        <f t="shared" si="164"/>
        <v>15</v>
      </c>
      <c r="M209">
        <f t="shared" si="165"/>
        <v>3.855427609085503E-2</v>
      </c>
      <c r="N209">
        <f t="shared" si="166"/>
        <v>-1.5707963250000001</v>
      </c>
      <c r="O209">
        <f t="shared" si="167"/>
        <v>25.946841469765619</v>
      </c>
      <c r="P209">
        <f t="shared" si="168"/>
        <v>1.5322464429343727</v>
      </c>
      <c r="Q209">
        <f t="shared" si="169"/>
        <v>35.936457298056638</v>
      </c>
      <c r="R209">
        <f t="shared" si="170"/>
        <v>1.5429658399802544</v>
      </c>
      <c r="S209">
        <f t="shared" si="171"/>
        <v>0.29279467404210469</v>
      </c>
      <c r="T209">
        <f t="shared" si="172"/>
        <v>-1.2736480285025473</v>
      </c>
      <c r="U209">
        <f t="shared" si="173"/>
        <v>0.99995107537285233</v>
      </c>
      <c r="V209">
        <f t="shared" si="174"/>
        <v>-9.8919185287162717E-3</v>
      </c>
      <c r="X209">
        <f t="shared" si="192"/>
        <v>-4.7111849748570203</v>
      </c>
      <c r="Y209">
        <f t="shared" si="175"/>
        <v>-87.147099359208397</v>
      </c>
      <c r="Z209">
        <f t="shared" si="193"/>
        <v>92.852900640791603</v>
      </c>
      <c r="AC209">
        <v>1</v>
      </c>
      <c r="AD209">
        <f t="shared" si="176"/>
        <v>25.927564140450002</v>
      </c>
      <c r="AE209">
        <f t="shared" si="177"/>
        <v>-1.4254422863807224E-5</v>
      </c>
      <c r="AF209">
        <f t="shared" si="178"/>
        <v>1.4409700087387499E-3</v>
      </c>
      <c r="AG209">
        <f t="shared" si="194"/>
        <v>17984.507504856854</v>
      </c>
      <c r="AH209">
        <f t="shared" si="195"/>
        <v>-871.8840554295839</v>
      </c>
      <c r="AJ209">
        <f t="shared" si="179"/>
        <v>18000</v>
      </c>
      <c r="AK209">
        <f t="shared" si="180"/>
        <v>58782.340074149994</v>
      </c>
      <c r="AL209">
        <v>1</v>
      </c>
      <c r="AM209">
        <f t="shared" si="181"/>
        <v>35.922541156425005</v>
      </c>
      <c r="AN209">
        <f t="shared" si="196"/>
        <v>1649.0345898815997</v>
      </c>
      <c r="AO209">
        <f t="shared" si="197"/>
        <v>-455.17284924020225</v>
      </c>
      <c r="AQ209">
        <f t="shared" si="182"/>
        <v>0.32651995036896753</v>
      </c>
      <c r="AR209">
        <f t="shared" si="183"/>
        <v>-57.14099131456932</v>
      </c>
      <c r="AT209">
        <f t="shared" si="156"/>
        <v>-43948.018740717147</v>
      </c>
      <c r="AU209">
        <f t="shared" si="157"/>
        <v>-1027937.2746703386</v>
      </c>
      <c r="AV209">
        <f t="shared" si="198"/>
        <v>-1.6135239056649395</v>
      </c>
      <c r="AW209">
        <f t="shared" si="199"/>
        <v>16514.511620839821</v>
      </c>
      <c r="AX209">
        <f t="shared" si="200"/>
        <v>-103054.6852221555</v>
      </c>
      <c r="AY209">
        <f t="shared" si="208"/>
        <v>-1.4118973303203055</v>
      </c>
      <c r="BA209">
        <f t="shared" si="184"/>
        <v>9.8580149499240477</v>
      </c>
      <c r="BB209">
        <f t="shared" si="201"/>
        <v>19.87578944875105</v>
      </c>
      <c r="BC209">
        <f t="shared" si="202"/>
        <v>-0.20162657534463402</v>
      </c>
      <c r="BD209">
        <f t="shared" si="185"/>
        <v>-191.55235181812452</v>
      </c>
      <c r="BF209">
        <f t="shared" si="186"/>
        <v>-5.2800802647428915</v>
      </c>
      <c r="BG209">
        <f t="shared" si="187"/>
        <v>-111.35471441109604</v>
      </c>
      <c r="BH209">
        <f t="shared" si="203"/>
        <v>68.64528558890396</v>
      </c>
      <c r="BI209">
        <f t="shared" si="204"/>
        <v>68.64528558890396</v>
      </c>
      <c r="BJ209">
        <f t="shared" si="188"/>
        <v>0</v>
      </c>
      <c r="BK209">
        <f t="shared" si="205"/>
        <v>0</v>
      </c>
      <c r="BM209">
        <f t="shared" si="206"/>
        <v>-25.155869713493942</v>
      </c>
      <c r="BN209">
        <f t="shared" si="189"/>
        <v>-99.802362592971519</v>
      </c>
      <c r="BQ209" s="66">
        <f t="shared" si="207"/>
        <v>36.777750249036188</v>
      </c>
      <c r="BR209" s="71"/>
      <c r="BS209" s="71"/>
      <c r="BT209" s="71">
        <v>9772.3719999999994</v>
      </c>
      <c r="BU209" s="71">
        <v>-1.9944299999999999</v>
      </c>
      <c r="BV209" s="71">
        <v>-212.98699999999999</v>
      </c>
      <c r="BW209" s="75"/>
      <c r="BY209" s="71"/>
      <c r="BZ209" s="71"/>
      <c r="CA209" s="71"/>
      <c r="CC209" s="71"/>
    </row>
    <row r="210" spans="1:81" x14ac:dyDescent="0.2">
      <c r="A210">
        <f t="shared" si="190"/>
        <v>88000</v>
      </c>
      <c r="B210">
        <f t="shared" si="191"/>
        <v>88</v>
      </c>
      <c r="C210">
        <f t="shared" si="159"/>
        <v>5.5645037515613511</v>
      </c>
      <c r="D210">
        <f t="shared" si="160"/>
        <v>1.3901041292523444</v>
      </c>
      <c r="F210">
        <f t="shared" si="161"/>
        <v>6.5785595402401327E-4</v>
      </c>
      <c r="G210">
        <f t="shared" si="162"/>
        <v>1.0558296843153913E-2</v>
      </c>
      <c r="H210">
        <f t="shared" si="163"/>
        <v>-3.1310343531568461</v>
      </c>
      <c r="J210">
        <f t="shared" si="164"/>
        <v>15</v>
      </c>
      <c r="M210">
        <f t="shared" si="165"/>
        <v>3.8335217703975175E-2</v>
      </c>
      <c r="N210">
        <f t="shared" si="166"/>
        <v>-1.5707963250000001</v>
      </c>
      <c r="O210">
        <f t="shared" si="167"/>
        <v>26.094889529543909</v>
      </c>
      <c r="P210">
        <f t="shared" si="168"/>
        <v>1.5324652612703396</v>
      </c>
      <c r="Q210">
        <f t="shared" si="169"/>
        <v>36.141649923179678</v>
      </c>
      <c r="R210">
        <f t="shared" si="170"/>
        <v>1.5431238868024955</v>
      </c>
      <c r="S210">
        <f t="shared" si="171"/>
        <v>0.29127257667091855</v>
      </c>
      <c r="T210">
        <f t="shared" si="172"/>
        <v>-1.2752395014871043</v>
      </c>
      <c r="U210">
        <f t="shared" si="173"/>
        <v>0.99995051467833929</v>
      </c>
      <c r="V210">
        <f t="shared" si="174"/>
        <v>-9.9484400585288114E-3</v>
      </c>
      <c r="X210">
        <f t="shared" si="192"/>
        <v>-4.7582402849309382</v>
      </c>
      <c r="Y210">
        <f t="shared" si="175"/>
        <v>-87.165521484115359</v>
      </c>
      <c r="Z210">
        <f t="shared" si="193"/>
        <v>92.834478515884641</v>
      </c>
      <c r="AC210">
        <v>1</v>
      </c>
      <c r="AD210">
        <f t="shared" si="176"/>
        <v>26.075721649824001</v>
      </c>
      <c r="AE210">
        <f t="shared" si="177"/>
        <v>-1.44177960042218E-5</v>
      </c>
      <c r="AF210">
        <f t="shared" si="178"/>
        <v>1.4492041230744E-3</v>
      </c>
      <c r="AG210">
        <f t="shared" si="194"/>
        <v>17984.487336246402</v>
      </c>
      <c r="AH210">
        <f t="shared" si="195"/>
        <v>-868.95741573173859</v>
      </c>
      <c r="AJ210">
        <f t="shared" si="179"/>
        <v>18000</v>
      </c>
      <c r="AK210">
        <f t="shared" si="180"/>
        <v>59118.239160288002</v>
      </c>
      <c r="AL210">
        <v>1</v>
      </c>
      <c r="AM210">
        <f t="shared" si="181"/>
        <v>36.127812820175997</v>
      </c>
      <c r="AN210">
        <f t="shared" si="196"/>
        <v>1648.8911207501644</v>
      </c>
      <c r="AO210">
        <f t="shared" si="197"/>
        <v>-452.59061102415728</v>
      </c>
      <c r="AQ210">
        <f t="shared" si="182"/>
        <v>0.32282015689059623</v>
      </c>
      <c r="AR210">
        <f t="shared" si="183"/>
        <v>-56.816347612744941</v>
      </c>
      <c r="AT210">
        <f t="shared" si="156"/>
        <v>-43565.231569402975</v>
      </c>
      <c r="AU210">
        <f t="shared" si="157"/>
        <v>-1022093.4011024627</v>
      </c>
      <c r="AV210">
        <f t="shared" si="198"/>
        <v>-1.613394075337135</v>
      </c>
      <c r="AW210">
        <f t="shared" si="199"/>
        <v>16803.418170263183</v>
      </c>
      <c r="AX210">
        <f t="shared" si="200"/>
        <v>-102463.89456560154</v>
      </c>
      <c r="AY210">
        <f t="shared" si="208"/>
        <v>-1.4082496383275058</v>
      </c>
      <c r="BA210">
        <f t="shared" si="184"/>
        <v>9.8526053904471151</v>
      </c>
      <c r="BB210">
        <f t="shared" si="201"/>
        <v>19.871021781678628</v>
      </c>
      <c r="BC210">
        <f t="shared" si="202"/>
        <v>-0.20514443700962914</v>
      </c>
      <c r="BD210">
        <f t="shared" si="185"/>
        <v>-191.75391044466991</v>
      </c>
      <c r="BF210">
        <f t="shared" si="186"/>
        <v>-5.3360080524194515</v>
      </c>
      <c r="BG210">
        <f t="shared" si="187"/>
        <v>-111.50186481514193</v>
      </c>
      <c r="BH210">
        <f t="shared" si="203"/>
        <v>68.498135184858072</v>
      </c>
      <c r="BI210">
        <f t="shared" si="204"/>
        <v>68.498135184858072</v>
      </c>
      <c r="BJ210">
        <f t="shared" si="188"/>
        <v>0</v>
      </c>
      <c r="BK210">
        <f t="shared" si="205"/>
        <v>0</v>
      </c>
      <c r="BM210">
        <f t="shared" si="206"/>
        <v>-25.207029834098083</v>
      </c>
      <c r="BN210">
        <f t="shared" si="189"/>
        <v>-99.747954370472016</v>
      </c>
      <c r="BQ210" s="66">
        <f t="shared" si="207"/>
        <v>36.772982581963767</v>
      </c>
      <c r="BR210" s="71"/>
      <c r="BS210" s="71"/>
      <c r="BT210" s="71">
        <v>10000</v>
      </c>
      <c r="BU210" s="71">
        <v>-2.2209699999999999</v>
      </c>
      <c r="BV210" s="71">
        <v>-213.047</v>
      </c>
      <c r="BW210" s="75"/>
      <c r="BY210" s="71"/>
      <c r="BZ210" s="71"/>
      <c r="CA210" s="71"/>
      <c r="CC210" s="71"/>
    </row>
    <row r="211" spans="1:81" x14ac:dyDescent="0.2">
      <c r="A211">
        <f t="shared" si="190"/>
        <v>88500</v>
      </c>
      <c r="B211">
        <f t="shared" si="191"/>
        <v>88.5</v>
      </c>
      <c r="C211">
        <f t="shared" si="159"/>
        <v>5.5951019592778479</v>
      </c>
      <c r="D211">
        <f t="shared" si="160"/>
        <v>1.3911030952229819</v>
      </c>
      <c r="F211">
        <f t="shared" si="161"/>
        <v>6.50439098297615E-4</v>
      </c>
      <c r="G211">
        <f t="shared" si="162"/>
        <v>1.049857136641311E-2</v>
      </c>
      <c r="H211">
        <f t="shared" si="163"/>
        <v>-3.1310940786335872</v>
      </c>
      <c r="J211">
        <f t="shared" si="164"/>
        <v>15</v>
      </c>
      <c r="M211">
        <f t="shared" si="165"/>
        <v>3.8118634553105261E-2</v>
      </c>
      <c r="N211">
        <f t="shared" si="166"/>
        <v>-1.5707963250000001</v>
      </c>
      <c r="O211">
        <f t="shared" si="167"/>
        <v>26.242938824686142</v>
      </c>
      <c r="P211">
        <f t="shared" si="168"/>
        <v>1.5326816106933567</v>
      </c>
      <c r="Q211">
        <f t="shared" si="169"/>
        <v>36.346843440884619</v>
      </c>
      <c r="R211">
        <f t="shared" si="170"/>
        <v>1.5432801491444308</v>
      </c>
      <c r="S211">
        <f t="shared" si="171"/>
        <v>0.28976550018214237</v>
      </c>
      <c r="T211">
        <f t="shared" si="172"/>
        <v>-1.2768145095124315</v>
      </c>
      <c r="U211">
        <f t="shared" si="173"/>
        <v>0.99994995078993676</v>
      </c>
      <c r="V211">
        <f t="shared" si="174"/>
        <v>-1.0004961524775091E-2</v>
      </c>
      <c r="X211">
        <f t="shared" si="192"/>
        <v>-4.8050530615156877</v>
      </c>
      <c r="Y211">
        <f t="shared" si="175"/>
        <v>-87.183837640377831</v>
      </c>
      <c r="Z211">
        <f t="shared" si="193"/>
        <v>92.816162359622169</v>
      </c>
      <c r="AC211">
        <v>1</v>
      </c>
      <c r="AD211">
        <f t="shared" si="176"/>
        <v>26.223879159198002</v>
      </c>
      <c r="AE211">
        <f t="shared" si="177"/>
        <v>-1.4582100045721357E-5</v>
      </c>
      <c r="AF211">
        <f t="shared" si="178"/>
        <v>1.4574382374100501E-3</v>
      </c>
      <c r="AG211">
        <f t="shared" si="194"/>
        <v>17984.467052760723</v>
      </c>
      <c r="AH211">
        <f t="shared" si="195"/>
        <v>-866.07532685256569</v>
      </c>
      <c r="AJ211">
        <f t="shared" si="179"/>
        <v>18000</v>
      </c>
      <c r="AK211">
        <f t="shared" si="180"/>
        <v>59454.138246425995</v>
      </c>
      <c r="AL211">
        <v>1</v>
      </c>
      <c r="AM211">
        <f t="shared" si="181"/>
        <v>36.333084483927003</v>
      </c>
      <c r="AN211">
        <f t="shared" si="196"/>
        <v>1648.7500739689956</v>
      </c>
      <c r="AO211">
        <f t="shared" si="197"/>
        <v>-450.03748397041431</v>
      </c>
      <c r="AQ211">
        <f t="shared" si="182"/>
        <v>0.31918289179699966</v>
      </c>
      <c r="AR211">
        <f t="shared" si="183"/>
        <v>-56.495371848068942</v>
      </c>
      <c r="AT211">
        <f t="shared" si="156"/>
        <v>-43188.913437645511</v>
      </c>
      <c r="AU211">
        <f t="shared" si="157"/>
        <v>-1016315.5900624004</v>
      </c>
      <c r="AV211">
        <f t="shared" si="198"/>
        <v>-1.6132663470176272</v>
      </c>
      <c r="AW211">
        <f t="shared" si="199"/>
        <v>17087.447110682067</v>
      </c>
      <c r="AX211">
        <f t="shared" si="200"/>
        <v>-101879.9699428406</v>
      </c>
      <c r="AY211">
        <f t="shared" si="208"/>
        <v>-1.4046216371592033</v>
      </c>
      <c r="BA211">
        <f t="shared" si="184"/>
        <v>9.8470797322850974</v>
      </c>
      <c r="BB211">
        <f t="shared" si="201"/>
        <v>19.866149088746468</v>
      </c>
      <c r="BC211">
        <f t="shared" si="202"/>
        <v>-0.20864470985842387</v>
      </c>
      <c r="BD211">
        <f t="shared" si="185"/>
        <v>-191.95446130627926</v>
      </c>
      <c r="BF211">
        <f t="shared" si="186"/>
        <v>-5.3917328472285941</v>
      </c>
      <c r="BG211">
        <f t="shared" si="187"/>
        <v>-111.64860116044173</v>
      </c>
      <c r="BH211">
        <f t="shared" si="203"/>
        <v>68.351398839558271</v>
      </c>
      <c r="BI211">
        <f t="shared" si="204"/>
        <v>68.351398839558271</v>
      </c>
      <c r="BJ211">
        <f t="shared" si="188"/>
        <v>0</v>
      </c>
      <c r="BK211">
        <f t="shared" si="205"/>
        <v>0</v>
      </c>
      <c r="BM211">
        <f t="shared" si="206"/>
        <v>-25.25788193597506</v>
      </c>
      <c r="BN211">
        <f t="shared" si="189"/>
        <v>-99.694139854162486</v>
      </c>
      <c r="BQ211" s="66">
        <f t="shared" si="207"/>
        <v>36.768109889031606</v>
      </c>
      <c r="BR211" s="71"/>
      <c r="BS211" s="71"/>
      <c r="BT211" s="71">
        <v>10232.93</v>
      </c>
      <c r="BU211" s="71">
        <v>-2.4867400000000002</v>
      </c>
      <c r="BV211" s="71">
        <v>-211.715</v>
      </c>
      <c r="BW211" s="75"/>
      <c r="BY211" s="71"/>
      <c r="BZ211" s="71"/>
      <c r="CA211" s="71"/>
      <c r="CC211" s="71"/>
    </row>
    <row r="212" spans="1:81" x14ac:dyDescent="0.2">
      <c r="A212">
        <f t="shared" si="190"/>
        <v>89000</v>
      </c>
      <c r="B212">
        <f t="shared" si="191"/>
        <v>89</v>
      </c>
      <c r="C212">
        <f t="shared" si="159"/>
        <v>5.6257056897903537</v>
      </c>
      <c r="D212">
        <f t="shared" si="160"/>
        <v>1.3920911934595062</v>
      </c>
      <c r="F212">
        <f t="shared" si="161"/>
        <v>6.4314699330383473E-4</v>
      </c>
      <c r="G212">
        <f t="shared" si="162"/>
        <v>1.0439518201467553E-2</v>
      </c>
      <c r="H212">
        <f t="shared" si="163"/>
        <v>-3.1311531317985328</v>
      </c>
      <c r="J212">
        <f t="shared" si="164"/>
        <v>15</v>
      </c>
      <c r="M212">
        <f t="shared" si="165"/>
        <v>3.7904484920784437E-2</v>
      </c>
      <c r="N212">
        <f t="shared" si="166"/>
        <v>-1.5707963250000001</v>
      </c>
      <c r="O212">
        <f t="shared" si="167"/>
        <v>26.390989334401738</v>
      </c>
      <c r="P212">
        <f t="shared" si="168"/>
        <v>1.5328955327339779</v>
      </c>
      <c r="Q212">
        <f t="shared" si="169"/>
        <v>36.552037836139299</v>
      </c>
      <c r="R212">
        <f t="shared" si="170"/>
        <v>1.5434346570513007</v>
      </c>
      <c r="S212">
        <f t="shared" si="171"/>
        <v>0.28827323487705059</v>
      </c>
      <c r="T212">
        <f t="shared" si="172"/>
        <v>-1.2783732990825367</v>
      </c>
      <c r="U212">
        <f t="shared" si="173"/>
        <v>0.99994938370766118</v>
      </c>
      <c r="V212">
        <f t="shared" si="174"/>
        <v>-1.0061482927094089E-2</v>
      </c>
      <c r="X212">
        <f t="shared" si="192"/>
        <v>-4.8516257040598605</v>
      </c>
      <c r="Y212">
        <f t="shared" si="175"/>
        <v>-87.202048299103382</v>
      </c>
      <c r="Z212">
        <f t="shared" si="193"/>
        <v>92.797951700896618</v>
      </c>
      <c r="AC212">
        <v>1</v>
      </c>
      <c r="AD212">
        <f t="shared" si="176"/>
        <v>26.372036668572001</v>
      </c>
      <c r="AE212">
        <f t="shared" si="177"/>
        <v>-1.4747334988305898E-5</v>
      </c>
      <c r="AF212">
        <f t="shared" si="178"/>
        <v>1.4656723517457002E-3</v>
      </c>
      <c r="AG212">
        <f t="shared" si="194"/>
        <v>17984.446654400581</v>
      </c>
      <c r="AH212">
        <f t="shared" si="195"/>
        <v>-863.23703785829741</v>
      </c>
      <c r="AJ212">
        <f t="shared" si="179"/>
        <v>18000</v>
      </c>
      <c r="AK212">
        <f t="shared" si="180"/>
        <v>59790.037332563996</v>
      </c>
      <c r="AL212">
        <v>1</v>
      </c>
      <c r="AM212">
        <f t="shared" si="181"/>
        <v>36.538356147678002</v>
      </c>
      <c r="AN212">
        <f t="shared" si="196"/>
        <v>1648.6113953245599</v>
      </c>
      <c r="AO212">
        <f t="shared" si="197"/>
        <v>-447.5129789251497</v>
      </c>
      <c r="AQ212">
        <f t="shared" si="182"/>
        <v>0.31560675398453525</v>
      </c>
      <c r="AR212">
        <f t="shared" si="183"/>
        <v>-56.178002209247275</v>
      </c>
      <c r="AT212">
        <f t="shared" si="156"/>
        <v>-42818.9193891041</v>
      </c>
      <c r="AU212">
        <f t="shared" si="157"/>
        <v>-1010602.7273224433</v>
      </c>
      <c r="AV212">
        <f t="shared" si="198"/>
        <v>-1.6131406853579537</v>
      </c>
      <c r="AW212">
        <f t="shared" si="199"/>
        <v>17366.707562473399</v>
      </c>
      <c r="AX212">
        <f t="shared" si="200"/>
        <v>-101302.79197021808</v>
      </c>
      <c r="AY212">
        <f t="shared" si="208"/>
        <v>-1.4010131175217999</v>
      </c>
      <c r="BA212">
        <f t="shared" si="184"/>
        <v>9.8414401506684932</v>
      </c>
      <c r="BB212">
        <f t="shared" si="201"/>
        <v>19.861173114406334</v>
      </c>
      <c r="BC212">
        <f t="shared" si="202"/>
        <v>-0.21212756783615383</v>
      </c>
      <c r="BD212">
        <f t="shared" si="185"/>
        <v>-192.15401436927468</v>
      </c>
      <c r="BF212">
        <f t="shared" si="186"/>
        <v>-5.4472566672569176</v>
      </c>
      <c r="BG212">
        <f t="shared" si="187"/>
        <v>-111.79492386179744</v>
      </c>
      <c r="BH212">
        <f t="shared" si="203"/>
        <v>68.205076138202557</v>
      </c>
      <c r="BI212">
        <f t="shared" si="204"/>
        <v>68.205076138202557</v>
      </c>
      <c r="BJ212">
        <f t="shared" si="188"/>
        <v>0</v>
      </c>
      <c r="BK212">
        <f t="shared" si="205"/>
        <v>0</v>
      </c>
      <c r="BM212">
        <f t="shared" si="206"/>
        <v>-25.30842978166325</v>
      </c>
      <c r="BN212">
        <f t="shared" si="189"/>
        <v>-99.640909492522766</v>
      </c>
      <c r="BQ212" s="66">
        <f t="shared" si="207"/>
        <v>36.763133914691473</v>
      </c>
      <c r="BR212" s="71"/>
      <c r="BS212" s="71"/>
      <c r="BT212" s="71">
        <v>10471.285</v>
      </c>
      <c r="BU212" s="71">
        <v>-2.3517399999999999</v>
      </c>
      <c r="BV212" s="71">
        <v>-211.89099999999999</v>
      </c>
      <c r="BW212" s="75"/>
      <c r="BY212" s="71"/>
      <c r="BZ212" s="71"/>
      <c r="CA212" s="71"/>
      <c r="CC212" s="71"/>
    </row>
    <row r="213" spans="1:81" x14ac:dyDescent="0.2">
      <c r="A213">
        <f t="shared" si="190"/>
        <v>89500</v>
      </c>
      <c r="B213">
        <f t="shared" si="191"/>
        <v>89.5</v>
      </c>
      <c r="C213">
        <f t="shared" si="159"/>
        <v>5.656314853454905</v>
      </c>
      <c r="D213">
        <f t="shared" si="160"/>
        <v>1.3930685984489746</v>
      </c>
      <c r="F213">
        <f t="shared" si="161"/>
        <v>6.3597685638179947E-4</v>
      </c>
      <c r="G213">
        <f t="shared" si="162"/>
        <v>1.0381126053039679E-2</v>
      </c>
      <c r="H213">
        <f t="shared" si="163"/>
        <v>-3.1312115239469605</v>
      </c>
      <c r="J213">
        <f t="shared" si="164"/>
        <v>15</v>
      </c>
      <c r="M213">
        <f t="shared" si="165"/>
        <v>3.7692728021785644E-2</v>
      </c>
      <c r="N213">
        <f t="shared" si="166"/>
        <v>-1.5707963250000001</v>
      </c>
      <c r="O213">
        <f t="shared" si="167"/>
        <v>26.539041038363859</v>
      </c>
      <c r="P213">
        <f t="shared" si="168"/>
        <v>1.5331070679969219</v>
      </c>
      <c r="Q213">
        <f t="shared" si="169"/>
        <v>36.757233094247162</v>
      </c>
      <c r="R213">
        <f t="shared" si="170"/>
        <v>1.5435874398977809</v>
      </c>
      <c r="S213">
        <f t="shared" si="171"/>
        <v>0.28679557469000977</v>
      </c>
      <c r="T213">
        <f t="shared" si="172"/>
        <v>-1.2799161119660787</v>
      </c>
      <c r="U213">
        <f t="shared" si="173"/>
        <v>0.99994881343152886</v>
      </c>
      <c r="V213">
        <f t="shared" si="174"/>
        <v>-1.0118004265124776E-2</v>
      </c>
      <c r="X213">
        <f t="shared" si="192"/>
        <v>-4.897960577413536</v>
      </c>
      <c r="Y213">
        <f t="shared" si="175"/>
        <v>-87.220153952870874</v>
      </c>
      <c r="Z213">
        <f t="shared" si="193"/>
        <v>92.779846047129126</v>
      </c>
      <c r="AC213">
        <v>1</v>
      </c>
      <c r="AD213">
        <f t="shared" si="176"/>
        <v>26.520194177945999</v>
      </c>
      <c r="AE213">
        <f t="shared" si="177"/>
        <v>-1.4913500831975423E-5</v>
      </c>
      <c r="AF213">
        <f t="shared" si="178"/>
        <v>1.47390646608135E-3</v>
      </c>
      <c r="AG213">
        <f t="shared" si="194"/>
        <v>17984.426141166769</v>
      </c>
      <c r="AH213">
        <f t="shared" si="195"/>
        <v>-860.44181459537344</v>
      </c>
      <c r="AJ213">
        <f t="shared" si="179"/>
        <v>18000</v>
      </c>
      <c r="AK213">
        <f t="shared" si="180"/>
        <v>60125.936418701996</v>
      </c>
      <c r="AL213">
        <v>1</v>
      </c>
      <c r="AM213">
        <f t="shared" si="181"/>
        <v>36.743627811429</v>
      </c>
      <c r="AN213">
        <f t="shared" si="196"/>
        <v>1648.4750321111703</v>
      </c>
      <c r="AO213">
        <f t="shared" si="197"/>
        <v>-445.01661762431456</v>
      </c>
      <c r="AQ213">
        <f t="shared" si="182"/>
        <v>0.31209038137444606</v>
      </c>
      <c r="AR213">
        <f t="shared" si="183"/>
        <v>-55.864178266025839</v>
      </c>
      <c r="AT213">
        <f t="shared" si="156"/>
        <v>-42455.1085049014</v>
      </c>
      <c r="AU213">
        <f t="shared" si="157"/>
        <v>-1004953.7235763831</v>
      </c>
      <c r="AV213">
        <f t="shared" si="198"/>
        <v>-1.61301705579734</v>
      </c>
      <c r="AW213">
        <f t="shared" si="199"/>
        <v>17641.305612277065</v>
      </c>
      <c r="AX213">
        <f t="shared" si="200"/>
        <v>-100732.24403319517</v>
      </c>
      <c r="AY213">
        <f t="shared" si="208"/>
        <v>-1.3974238738536537</v>
      </c>
      <c r="BA213">
        <f t="shared" si="184"/>
        <v>9.8356887771342354</v>
      </c>
      <c r="BB213">
        <f t="shared" si="201"/>
        <v>19.856095564994348</v>
      </c>
      <c r="BC213">
        <f t="shared" si="202"/>
        <v>-0.21559318194368626</v>
      </c>
      <c r="BD213">
        <f t="shared" si="185"/>
        <v>-192.35257943128417</v>
      </c>
      <c r="BF213">
        <f t="shared" si="186"/>
        <v>-5.5025814993137647</v>
      </c>
      <c r="BG213">
        <f t="shared" si="187"/>
        <v>-111.94083336663681</v>
      </c>
      <c r="BH213">
        <f t="shared" si="203"/>
        <v>68.059166633363191</v>
      </c>
      <c r="BI213">
        <f t="shared" si="204"/>
        <v>68.059166633363191</v>
      </c>
      <c r="BJ213">
        <f t="shared" si="188"/>
        <v>0</v>
      </c>
      <c r="BK213">
        <f t="shared" si="205"/>
        <v>0</v>
      </c>
      <c r="BM213">
        <f t="shared" si="206"/>
        <v>-25.358677064308111</v>
      </c>
      <c r="BN213">
        <f t="shared" si="189"/>
        <v>-99.58825393535264</v>
      </c>
      <c r="BQ213" s="66">
        <f t="shared" si="207"/>
        <v>36.758056365279486</v>
      </c>
      <c r="BR213" s="71"/>
      <c r="BS213" s="71"/>
      <c r="BT213" s="71">
        <v>10715.192999999999</v>
      </c>
      <c r="BU213" s="71">
        <v>-2.5136799999999999</v>
      </c>
      <c r="BV213" s="71">
        <v>-209.68</v>
      </c>
      <c r="BW213" s="75"/>
      <c r="BY213" s="71"/>
      <c r="BZ213" s="71"/>
      <c r="CA213" s="71"/>
      <c r="CC213" s="71"/>
    </row>
    <row r="214" spans="1:81" x14ac:dyDescent="0.2">
      <c r="A214">
        <f t="shared" si="190"/>
        <v>90000</v>
      </c>
      <c r="B214">
        <f t="shared" si="191"/>
        <v>90</v>
      </c>
      <c r="C214">
        <f t="shared" si="159"/>
        <v>5.6869293625417825</v>
      </c>
      <c r="D214">
        <f t="shared" si="160"/>
        <v>1.3940354810038995</v>
      </c>
      <c r="F214">
        <f t="shared" si="161"/>
        <v>6.2892598204173202E-4</v>
      </c>
      <c r="G214">
        <f t="shared" si="162"/>
        <v>1.0323383877615989E-2</v>
      </c>
      <c r="H214">
        <f t="shared" si="163"/>
        <v>-3.1312692661223842</v>
      </c>
      <c r="J214">
        <f t="shared" si="164"/>
        <v>15</v>
      </c>
      <c r="M214">
        <f t="shared" si="165"/>
        <v>3.7483323977220172E-2</v>
      </c>
      <c r="N214">
        <f t="shared" si="166"/>
        <v>-1.5707963250000001</v>
      </c>
      <c r="O214">
        <f t="shared" si="167"/>
        <v>26.687093916696583</v>
      </c>
      <c r="P214">
        <f t="shared" si="168"/>
        <v>1.5333162561867153</v>
      </c>
      <c r="Q214">
        <f t="shared" si="169"/>
        <v>36.962429200837931</v>
      </c>
      <c r="R214">
        <f t="shared" si="170"/>
        <v>1.5437385264065826</v>
      </c>
      <c r="S214">
        <f t="shared" si="171"/>
        <v>0.28533231711722573</v>
      </c>
      <c r="T214">
        <f t="shared" si="172"/>
        <v>-1.2814431853053085</v>
      </c>
      <c r="U214">
        <f t="shared" si="173"/>
        <v>0.99994823996155635</v>
      </c>
      <c r="V214">
        <f t="shared" si="174"/>
        <v>-1.0174525538506129E-2</v>
      </c>
      <c r="X214">
        <f t="shared" si="192"/>
        <v>-4.9440600124892349</v>
      </c>
      <c r="Y214">
        <f t="shared" si="175"/>
        <v>-87.238155114228519</v>
      </c>
      <c r="Z214">
        <f t="shared" si="193"/>
        <v>92.761844885771481</v>
      </c>
      <c r="AC214">
        <v>1</v>
      </c>
      <c r="AD214">
        <f t="shared" si="176"/>
        <v>26.668351687320005</v>
      </c>
      <c r="AE214">
        <f t="shared" si="177"/>
        <v>-1.5080597576729932E-5</v>
      </c>
      <c r="AF214">
        <f t="shared" si="178"/>
        <v>1.4821405804170001E-3</v>
      </c>
      <c r="AG214">
        <f t="shared" si="194"/>
        <v>17984.405513060072</v>
      </c>
      <c r="AH214">
        <f t="shared" si="195"/>
        <v>-857.68893922432494</v>
      </c>
      <c r="AJ214">
        <f t="shared" si="179"/>
        <v>18000</v>
      </c>
      <c r="AK214">
        <f t="shared" si="180"/>
        <v>60461.835504839997</v>
      </c>
      <c r="AL214">
        <v>1</v>
      </c>
      <c r="AM214">
        <f t="shared" si="181"/>
        <v>36.948899475179999</v>
      </c>
      <c r="AN214">
        <f t="shared" si="196"/>
        <v>1648.340933080952</v>
      </c>
      <c r="AO214">
        <f t="shared" si="197"/>
        <v>-442.54793239249494</v>
      </c>
      <c r="AQ214">
        <f t="shared" si="182"/>
        <v>0.30863244961575259</v>
      </c>
      <c r="AR214">
        <f t="shared" si="183"/>
        <v>-55.55384093083547</v>
      </c>
      <c r="AT214">
        <f t="shared" ref="AT214:AT277" si="209">-AR214*AH214+AG214*AQ214</f>
        <v>-42097.343769426385</v>
      </c>
      <c r="AU214">
        <f t="shared" ref="AU214:AU277" si="210">AQ214*AH214+AG214*AR214</f>
        <v>-999367.51374650083</v>
      </c>
      <c r="AV214">
        <f t="shared" si="198"/>
        <v>-1.6128954245408913</v>
      </c>
      <c r="AW214">
        <f t="shared" si="199"/>
        <v>17911.34441361652</v>
      </c>
      <c r="AX214">
        <f t="shared" si="200"/>
        <v>-100168.21220608587</v>
      </c>
      <c r="AY214">
        <f t="shared" si="208"/>
        <v>-1.3938537042419847</v>
      </c>
      <c r="BA214">
        <f t="shared" si="184"/>
        <v>9.8298277006661987</v>
      </c>
      <c r="BB214">
        <f t="shared" si="201"/>
        <v>19.850918109835575</v>
      </c>
      <c r="BC214">
        <f t="shared" si="202"/>
        <v>-0.21904172029890656</v>
      </c>
      <c r="BD214">
        <f t="shared" si="185"/>
        <v>-192.55016612475305</v>
      </c>
      <c r="BF214">
        <f t="shared" si="186"/>
        <v>-5.5577092995326964</v>
      </c>
      <c r="BG214">
        <f t="shared" si="187"/>
        <v>-112.08633015331583</v>
      </c>
      <c r="BH214">
        <f t="shared" si="203"/>
        <v>67.913669846684172</v>
      </c>
      <c r="BI214">
        <f t="shared" si="204"/>
        <v>67.913669846684172</v>
      </c>
      <c r="BJ214">
        <f t="shared" si="188"/>
        <v>0</v>
      </c>
      <c r="BK214">
        <f t="shared" si="205"/>
        <v>0</v>
      </c>
      <c r="BM214">
        <f t="shared" si="206"/>
        <v>-25.408627409368272</v>
      </c>
      <c r="BN214">
        <f t="shared" si="189"/>
        <v>-99.53616402856278</v>
      </c>
      <c r="BQ214" s="66">
        <f t="shared" si="207"/>
        <v>36.752878910120714</v>
      </c>
      <c r="BR214" s="71"/>
      <c r="BS214" s="71"/>
      <c r="BT214" s="71">
        <v>10964.781999999999</v>
      </c>
      <c r="BU214" s="71">
        <v>-2.5043700000000002</v>
      </c>
      <c r="BV214" s="71">
        <v>-209.52500000000001</v>
      </c>
      <c r="BW214" s="75"/>
      <c r="BY214" s="71"/>
      <c r="BZ214" s="71"/>
      <c r="CA214" s="71"/>
      <c r="CC214" s="71"/>
    </row>
    <row r="215" spans="1:81" x14ac:dyDescent="0.2">
      <c r="A215">
        <f t="shared" si="190"/>
        <v>90500</v>
      </c>
      <c r="B215">
        <f t="shared" si="191"/>
        <v>90.5</v>
      </c>
      <c r="C215">
        <f t="shared" si="159"/>
        <v>5.7175491311850974</v>
      </c>
      <c r="D215">
        <f t="shared" si="160"/>
        <v>1.3949920083573744</v>
      </c>
      <c r="F215">
        <f t="shared" si="161"/>
        <v>6.2199173941043014E-4</v>
      </c>
      <c r="G215">
        <f t="shared" si="162"/>
        <v>1.0266280876467287E-2</v>
      </c>
      <c r="H215">
        <f t="shared" si="163"/>
        <v>-3.1313263691235331</v>
      </c>
      <c r="J215">
        <f t="shared" si="164"/>
        <v>15</v>
      </c>
      <c r="M215">
        <f t="shared" si="165"/>
        <v>3.7276233789500721E-2</v>
      </c>
      <c r="N215">
        <f t="shared" si="166"/>
        <v>-1.5707963250000001</v>
      </c>
      <c r="O215">
        <f t="shared" si="167"/>
        <v>26.835147949962455</v>
      </c>
      <c r="P215">
        <f t="shared" si="168"/>
        <v>1.5335231361324912</v>
      </c>
      <c r="Q215">
        <f t="shared" si="169"/>
        <v>37.167626141858641</v>
      </c>
      <c r="R215">
        <f t="shared" si="170"/>
        <v>1.5438879446664349</v>
      </c>
      <c r="S215">
        <f t="shared" si="171"/>
        <v>0.28388326314691004</v>
      </c>
      <c r="T215">
        <f t="shared" si="172"/>
        <v>-1.2829547517221518</v>
      </c>
      <c r="U215">
        <f t="shared" si="173"/>
        <v>0.99994766329775986</v>
      </c>
      <c r="V215">
        <f t="shared" si="174"/>
        <v>-1.0231046746877132E-2</v>
      </c>
      <c r="X215">
        <f t="shared" si="192"/>
        <v>-4.98992630690665</v>
      </c>
      <c r="Y215">
        <f t="shared" si="175"/>
        <v>-87.256052314270306</v>
      </c>
      <c r="Z215">
        <f t="shared" si="193"/>
        <v>92.743947685729694</v>
      </c>
      <c r="AC215">
        <v>1</v>
      </c>
      <c r="AD215">
        <f t="shared" si="176"/>
        <v>26.816509196694007</v>
      </c>
      <c r="AE215">
        <f t="shared" si="177"/>
        <v>-1.5248625222569422E-5</v>
      </c>
      <c r="AF215">
        <f t="shared" si="178"/>
        <v>1.4903746947526502E-3</v>
      </c>
      <c r="AG215">
        <f t="shared" si="194"/>
        <v>17984.384770081273</v>
      </c>
      <c r="AH215">
        <f t="shared" si="195"/>
        <v>-854.97770976910829</v>
      </c>
      <c r="AJ215">
        <f t="shared" si="179"/>
        <v>18000</v>
      </c>
      <c r="AK215">
        <f t="shared" si="180"/>
        <v>60797.734590977991</v>
      </c>
      <c r="AL215">
        <v>1</v>
      </c>
      <c r="AM215">
        <f t="shared" si="181"/>
        <v>37.154171138930998</v>
      </c>
      <c r="AN215">
        <f t="shared" si="196"/>
        <v>1648.2090483957336</v>
      </c>
      <c r="AO215">
        <f t="shared" si="197"/>
        <v>-440.10646585170309</v>
      </c>
      <c r="AQ215">
        <f t="shared" si="182"/>
        <v>0.30523167083816616</v>
      </c>
      <c r="AR215">
        <f t="shared" si="183"/>
        <v>-55.246932421708074</v>
      </c>
      <c r="AT215">
        <f t="shared" si="209"/>
        <v>-41745.491941312284</v>
      </c>
      <c r="AU215">
        <f t="shared" si="210"/>
        <v>-993843.05631355813</v>
      </c>
      <c r="AV215">
        <f t="shared" si="198"/>
        <v>-1.6127757585385063</v>
      </c>
      <c r="AW215">
        <f t="shared" si="199"/>
        <v>18176.924283648408</v>
      </c>
      <c r="AX215">
        <f t="shared" si="200"/>
        <v>-99610.585174582215</v>
      </c>
      <c r="AY215">
        <f t="shared" si="208"/>
        <v>-1.3903024103417685</v>
      </c>
      <c r="BA215">
        <f t="shared" si="184"/>
        <v>9.8238589688001063</v>
      </c>
      <c r="BB215">
        <f t="shared" si="201"/>
        <v>19.845642382310878</v>
      </c>
      <c r="BC215">
        <f t="shared" si="202"/>
        <v>-0.22247334819673781</v>
      </c>
      <c r="BD215">
        <f t="shared" si="185"/>
        <v>-192.7467839203828</v>
      </c>
      <c r="BF215">
        <f t="shared" si="186"/>
        <v>-5.6126419939585679</v>
      </c>
      <c r="BG215">
        <f t="shared" si="187"/>
        <v>-112.23141472950714</v>
      </c>
      <c r="BH215">
        <f t="shared" si="203"/>
        <v>67.768585270492864</v>
      </c>
      <c r="BI215">
        <f t="shared" si="204"/>
        <v>67.768585270492864</v>
      </c>
      <c r="BJ215">
        <f t="shared" si="188"/>
        <v>0</v>
      </c>
      <c r="BK215">
        <f t="shared" si="205"/>
        <v>0</v>
      </c>
      <c r="BM215">
        <f t="shared" si="206"/>
        <v>-25.458284376269447</v>
      </c>
      <c r="BN215">
        <f t="shared" si="189"/>
        <v>-99.484630809124326</v>
      </c>
      <c r="BQ215" s="66">
        <f t="shared" si="207"/>
        <v>36.747603182596016</v>
      </c>
      <c r="BR215" s="71"/>
      <c r="BS215" s="71"/>
      <c r="BT215" s="71">
        <v>11220.184999999999</v>
      </c>
      <c r="BU215" s="71">
        <v>-2.7486899999999999</v>
      </c>
      <c r="BV215" s="71">
        <v>-207.815</v>
      </c>
      <c r="BW215" s="75"/>
      <c r="BY215" s="71"/>
      <c r="BZ215" s="71"/>
      <c r="CA215" s="71"/>
      <c r="CC215" s="71"/>
    </row>
    <row r="216" spans="1:81" x14ac:dyDescent="0.2">
      <c r="A216">
        <f t="shared" si="190"/>
        <v>91000</v>
      </c>
      <c r="B216">
        <f t="shared" si="191"/>
        <v>91</v>
      </c>
      <c r="C216">
        <f t="shared" si="159"/>
        <v>5.7481740753339521</v>
      </c>
      <c r="D216">
        <f t="shared" si="160"/>
        <v>1.395938344255292</v>
      </c>
      <c r="F216">
        <f t="shared" si="161"/>
        <v>6.151715697748772E-4</v>
      </c>
      <c r="G216">
        <f t="shared" si="162"/>
        <v>1.0209806488899981E-2</v>
      </c>
      <c r="H216">
        <f t="shared" si="163"/>
        <v>-3.1313828435111004</v>
      </c>
      <c r="J216">
        <f t="shared" si="164"/>
        <v>15</v>
      </c>
      <c r="M216">
        <f t="shared" si="165"/>
        <v>3.7071419318129836E-2</v>
      </c>
      <c r="N216">
        <f t="shared" si="166"/>
        <v>-1.5707963250000001</v>
      </c>
      <c r="O216">
        <f t="shared" si="167"/>
        <v>26.983203119150481</v>
      </c>
      <c r="P216">
        <f t="shared" si="168"/>
        <v>1.5337277458119711</v>
      </c>
      <c r="Q216">
        <f t="shared" si="169"/>
        <v>37.37282390356485</v>
      </c>
      <c r="R216">
        <f t="shared" si="170"/>
        <v>1.5440357221494772</v>
      </c>
      <c r="S216">
        <f t="shared" si="171"/>
        <v>0.28244821719084517</v>
      </c>
      <c r="T216">
        <f t="shared" si="172"/>
        <v>-1.2844510394215134</v>
      </c>
      <c r="U216">
        <f t="shared" si="173"/>
        <v>0.99994708344015593</v>
      </c>
      <c r="V216">
        <f t="shared" si="174"/>
        <v>-1.0287567889876762E-2</v>
      </c>
      <c r="X216">
        <f t="shared" si="192"/>
        <v>-5.0355617256216316</v>
      </c>
      <c r="Y216">
        <f t="shared" si="175"/>
        <v>-87.273846101287205</v>
      </c>
      <c r="Z216">
        <f t="shared" si="193"/>
        <v>92.726153898712795</v>
      </c>
      <c r="AC216">
        <v>1</v>
      </c>
      <c r="AD216">
        <f t="shared" si="176"/>
        <v>26.964666706068005</v>
      </c>
      <c r="AE216">
        <f t="shared" si="177"/>
        <v>-1.5417583769493894E-5</v>
      </c>
      <c r="AF216">
        <f t="shared" si="178"/>
        <v>1.4986088090883001E-3</v>
      </c>
      <c r="AG216">
        <f t="shared" si="194"/>
        <v>17984.363912231172</v>
      </c>
      <c r="AH216">
        <f t="shared" si="195"/>
        <v>-852.3074396812973</v>
      </c>
      <c r="AJ216">
        <f t="shared" si="179"/>
        <v>18000</v>
      </c>
      <c r="AK216">
        <f t="shared" si="180"/>
        <v>61133.633677115999</v>
      </c>
      <c r="AL216">
        <v>1</v>
      </c>
      <c r="AM216">
        <f t="shared" si="181"/>
        <v>37.359442802681997</v>
      </c>
      <c r="AN216">
        <f t="shared" si="196"/>
        <v>1648.0793295807819</v>
      </c>
      <c r="AO216">
        <f t="shared" si="197"/>
        <v>-437.69177063971972</v>
      </c>
      <c r="AQ216">
        <f t="shared" si="182"/>
        <v>0.30188679245283018</v>
      </c>
      <c r="AR216">
        <f t="shared" si="183"/>
        <v>-54.943396226415096</v>
      </c>
      <c r="AT216">
        <f t="shared" si="209"/>
        <v>-41399.423429363</v>
      </c>
      <c r="AU216">
        <f t="shared" si="210"/>
        <v>-988379.33266890713</v>
      </c>
      <c r="AV216">
        <f t="shared" si="198"/>
        <v>-1.6126580254644824</v>
      </c>
      <c r="AW216">
        <f t="shared" si="199"/>
        <v>18438.142796210621</v>
      </c>
      <c r="AX216">
        <f t="shared" si="200"/>
        <v>-99059.254160955708</v>
      </c>
      <c r="AY216">
        <f t="shared" si="208"/>
        <v>-1.3867697972965733</v>
      </c>
      <c r="BA216">
        <f t="shared" si="184"/>
        <v>9.8177845886940052</v>
      </c>
      <c r="BB216">
        <f t="shared" si="201"/>
        <v>19.840269980887456</v>
      </c>
      <c r="BC216">
        <f t="shared" si="202"/>
        <v>-0.2258882281679091</v>
      </c>
      <c r="BD216">
        <f t="shared" si="185"/>
        <v>-192.94244213049825</v>
      </c>
      <c r="BF216">
        <f t="shared" si="186"/>
        <v>-5.6673814791206709</v>
      </c>
      <c r="BG216">
        <f t="shared" si="187"/>
        <v>-112.3760876306701</v>
      </c>
      <c r="BH216">
        <f t="shared" si="203"/>
        <v>67.623912369329901</v>
      </c>
      <c r="BI216">
        <f t="shared" si="204"/>
        <v>67.623912369329901</v>
      </c>
      <c r="BJ216">
        <f t="shared" si="188"/>
        <v>0</v>
      </c>
      <c r="BK216">
        <f t="shared" si="205"/>
        <v>0</v>
      </c>
      <c r="BM216">
        <f t="shared" si="206"/>
        <v>-25.507651460008127</v>
      </c>
      <c r="BN216">
        <f t="shared" si="189"/>
        <v>-99.433645500171849</v>
      </c>
      <c r="BQ216" s="66">
        <f t="shared" si="207"/>
        <v>36.742230781172587</v>
      </c>
      <c r="BR216" s="71"/>
      <c r="BS216" s="71"/>
      <c r="BT216" s="71">
        <v>11481.536</v>
      </c>
      <c r="BU216" s="71">
        <v>-2.86917</v>
      </c>
      <c r="BV216" s="71">
        <v>-207.916</v>
      </c>
      <c r="BW216" s="75"/>
      <c r="BY216" s="71"/>
      <c r="BZ216" s="71"/>
      <c r="CA216" s="71"/>
      <c r="CC216" s="71"/>
    </row>
    <row r="217" spans="1:81" x14ac:dyDescent="0.2">
      <c r="A217">
        <f t="shared" si="190"/>
        <v>91500</v>
      </c>
      <c r="B217">
        <f t="shared" si="191"/>
        <v>91.5</v>
      </c>
      <c r="C217">
        <f t="shared" si="159"/>
        <v>5.7788041127051084</v>
      </c>
      <c r="D217">
        <f t="shared" si="160"/>
        <v>1.3968746490457626</v>
      </c>
      <c r="F217">
        <f t="shared" si="161"/>
        <v>6.0846298421969537E-4</v>
      </c>
      <c r="G217">
        <f t="shared" si="162"/>
        <v>1.015395038572956E-2</v>
      </c>
      <c r="H217">
        <f t="shared" si="163"/>
        <v>-3.1314386996142707</v>
      </c>
      <c r="J217">
        <f t="shared" si="164"/>
        <v>15</v>
      </c>
      <c r="M217">
        <f t="shared" si="165"/>
        <v>3.6868843256282133E-2</v>
      </c>
      <c r="N217">
        <f t="shared" si="166"/>
        <v>-1.5707963250000001</v>
      </c>
      <c r="O217">
        <f t="shared" si="167"/>
        <v>27.131259405664498</v>
      </c>
      <c r="P217">
        <f t="shared" si="168"/>
        <v>1.5339301223746622</v>
      </c>
      <c r="Q217">
        <f t="shared" si="169"/>
        <v>37.578022472512316</v>
      </c>
      <c r="R217">
        <f t="shared" si="170"/>
        <v>1.5441818857280818</v>
      </c>
      <c r="S217">
        <f t="shared" si="171"/>
        <v>0.28102698701732576</v>
      </c>
      <c r="T217">
        <f t="shared" si="172"/>
        <v>-1.2859322722918833</v>
      </c>
      <c r="U217">
        <f t="shared" si="173"/>
        <v>0.99994650038876143</v>
      </c>
      <c r="V217">
        <f t="shared" si="174"/>
        <v>-1.0344088967144005E-2</v>
      </c>
      <c r="X217">
        <f t="shared" si="192"/>
        <v>-5.0809685015399335</v>
      </c>
      <c r="Y217">
        <f t="shared" si="175"/>
        <v>-87.291537039489327</v>
      </c>
      <c r="Z217">
        <f t="shared" si="193"/>
        <v>92.708462960510673</v>
      </c>
      <c r="AC217">
        <v>1</v>
      </c>
      <c r="AD217">
        <f t="shared" si="176"/>
        <v>27.112824215442004</v>
      </c>
      <c r="AE217">
        <f t="shared" si="177"/>
        <v>-1.5587473217503355E-5</v>
      </c>
      <c r="AF217">
        <f t="shared" si="178"/>
        <v>1.5068429234239499E-3</v>
      </c>
      <c r="AG217">
        <f t="shared" si="194"/>
        <v>17984.34293951057</v>
      </c>
      <c r="AH217">
        <f t="shared" si="195"/>
        <v>-849.67745741856334</v>
      </c>
      <c r="AJ217">
        <f t="shared" si="179"/>
        <v>18000</v>
      </c>
      <c r="AK217">
        <f t="shared" si="180"/>
        <v>61469.532763253992</v>
      </c>
      <c r="AL217">
        <v>1</v>
      </c>
      <c r="AM217">
        <f t="shared" si="181"/>
        <v>37.564714466433003</v>
      </c>
      <c r="AN217">
        <f t="shared" si="196"/>
        <v>1647.9517294802922</v>
      </c>
      <c r="AO217">
        <f t="shared" si="197"/>
        <v>-435.30340913762399</v>
      </c>
      <c r="AQ217">
        <f t="shared" si="182"/>
        <v>0.29859659599880561</v>
      </c>
      <c r="AR217">
        <f t="shared" si="183"/>
        <v>-54.64317706778143</v>
      </c>
      <c r="AT217">
        <f t="shared" si="209"/>
        <v>-41059.012173211857</v>
      </c>
      <c r="AU217">
        <f t="shared" si="210"/>
        <v>-982975.34648786287</v>
      </c>
      <c r="AV217">
        <f t="shared" si="198"/>
        <v>-1.6125421936977871</v>
      </c>
      <c r="AW217">
        <f t="shared" si="199"/>
        <v>18695.094871329449</v>
      </c>
      <c r="AX217">
        <f t="shared" si="200"/>
        <v>-98514.112851826474</v>
      </c>
      <c r="AY217">
        <f t="shared" si="208"/>
        <v>-1.3832556736612918</v>
      </c>
      <c r="BA217">
        <f t="shared" si="184"/>
        <v>9.8116065281654503</v>
      </c>
      <c r="BB217">
        <f t="shared" si="201"/>
        <v>19.834802470114376</v>
      </c>
      <c r="BC217">
        <f t="shared" si="202"/>
        <v>-0.2292865200364953</v>
      </c>
      <c r="BD217">
        <f t="shared" si="185"/>
        <v>-193.13714991234434</v>
      </c>
      <c r="BF217">
        <f t="shared" si="186"/>
        <v>-5.7219296225924374</v>
      </c>
      <c r="BG217">
        <f t="shared" si="187"/>
        <v>-112.52034941859841</v>
      </c>
      <c r="BH217">
        <f t="shared" si="203"/>
        <v>67.479650581401586</v>
      </c>
      <c r="BI217">
        <f t="shared" si="204"/>
        <v>67.479650581401586</v>
      </c>
      <c r="BJ217">
        <f t="shared" si="188"/>
        <v>0</v>
      </c>
      <c r="BK217">
        <f t="shared" si="205"/>
        <v>0</v>
      </c>
      <c r="BM217">
        <f t="shared" si="206"/>
        <v>-25.556732092706817</v>
      </c>
      <c r="BN217">
        <f t="shared" si="189"/>
        <v>-99.383199506254073</v>
      </c>
      <c r="BQ217" s="66">
        <f t="shared" si="207"/>
        <v>36.736763270399507</v>
      </c>
      <c r="BR217" s="71"/>
      <c r="BS217" s="71"/>
      <c r="BT217" s="71">
        <v>11748.976000000001</v>
      </c>
      <c r="BU217" s="71">
        <v>-3.0396299999999998</v>
      </c>
      <c r="BV217" s="71">
        <v>-206.25700000000001</v>
      </c>
      <c r="BW217" s="75"/>
      <c r="BY217" s="71"/>
      <c r="BZ217" s="71"/>
      <c r="CA217" s="71"/>
      <c r="CC217" s="71"/>
    </row>
    <row r="218" spans="1:81" x14ac:dyDescent="0.2">
      <c r="A218">
        <f t="shared" si="190"/>
        <v>92000</v>
      </c>
      <c r="B218">
        <f t="shared" si="191"/>
        <v>92</v>
      </c>
      <c r="C218">
        <f t="shared" si="159"/>
        <v>5.8094391627371316</v>
      </c>
      <c r="D218">
        <f t="shared" si="160"/>
        <v>1.3978010797658256</v>
      </c>
      <c r="F218">
        <f t="shared" si="161"/>
        <v>6.0186356135436827E-4</v>
      </c>
      <c r="G218">
        <f t="shared" si="162"/>
        <v>1.009870246296775E-2</v>
      </c>
      <c r="H218">
        <f t="shared" si="163"/>
        <v>-3.1314939475370323</v>
      </c>
      <c r="J218">
        <f t="shared" si="164"/>
        <v>15</v>
      </c>
      <c r="M218">
        <f t="shared" si="165"/>
        <v>3.6668469108150165E-2</v>
      </c>
      <c r="N218">
        <f t="shared" si="166"/>
        <v>-1.5707963250000001</v>
      </c>
      <c r="O218">
        <f t="shared" si="167"/>
        <v>27.279316791311913</v>
      </c>
      <c r="P218">
        <f t="shared" si="168"/>
        <v>1.5341303021643038</v>
      </c>
      <c r="Q218">
        <f t="shared" si="169"/>
        <v>37.783221835548801</v>
      </c>
      <c r="R218">
        <f t="shared" si="170"/>
        <v>1.5443264616911285</v>
      </c>
      <c r="S218">
        <f t="shared" si="171"/>
        <v>0.27961938368545325</v>
      </c>
      <c r="T218">
        <f t="shared" si="172"/>
        <v>-1.2873986700033233</v>
      </c>
      <c r="U218">
        <f t="shared" si="173"/>
        <v>0.99994591414359313</v>
      </c>
      <c r="V218">
        <f t="shared" si="174"/>
        <v>-1.0400609978317852E-2</v>
      </c>
      <c r="X218">
        <f t="shared" si="192"/>
        <v>-5.1261488361162408</v>
      </c>
      <c r="Y218">
        <f t="shared" si="175"/>
        <v>-87.30912570779499</v>
      </c>
      <c r="Z218">
        <f t="shared" si="193"/>
        <v>92.69087429220501</v>
      </c>
      <c r="AC218">
        <v>1</v>
      </c>
      <c r="AD218">
        <f t="shared" si="176"/>
        <v>27.260981724816006</v>
      </c>
      <c r="AE218">
        <f t="shared" si="177"/>
        <v>-1.5758293566597796E-5</v>
      </c>
      <c r="AF218">
        <f t="shared" si="178"/>
        <v>1.5150770377596E-3</v>
      </c>
      <c r="AG218">
        <f t="shared" si="194"/>
        <v>17984.32185192026</v>
      </c>
      <c r="AH218">
        <f t="shared" si="195"/>
        <v>-847.08710603690042</v>
      </c>
      <c r="AJ218">
        <f t="shared" si="179"/>
        <v>18000</v>
      </c>
      <c r="AK218">
        <f t="shared" si="180"/>
        <v>61805.431849392</v>
      </c>
      <c r="AL218">
        <v>1</v>
      </c>
      <c r="AM218">
        <f t="shared" si="181"/>
        <v>37.769986130183995</v>
      </c>
      <c r="AN218">
        <f t="shared" si="196"/>
        <v>1647.8262022145725</v>
      </c>
      <c r="AO218">
        <f t="shared" si="197"/>
        <v>-432.94095320616333</v>
      </c>
      <c r="AQ218">
        <f t="shared" si="182"/>
        <v>0.29535989603331658</v>
      </c>
      <c r="AR218">
        <f t="shared" si="183"/>
        <v>-54.346220870130253</v>
      </c>
      <c r="AT218">
        <f t="shared" si="209"/>
        <v>-40724.13552850797</v>
      </c>
      <c r="AU218">
        <f t="shared" si="210"/>
        <v>-977630.12312353856</v>
      </c>
      <c r="AV218">
        <f t="shared" si="198"/>
        <v>-1.6124282323029713</v>
      </c>
      <c r="AW218">
        <f t="shared" si="199"/>
        <v>18947.872861339085</v>
      </c>
      <c r="AX218">
        <f t="shared" si="200"/>
        <v>-97975.057328398325</v>
      </c>
      <c r="AY218">
        <f t="shared" si="208"/>
        <v>-1.3797598513267257</v>
      </c>
      <c r="BA218">
        <f t="shared" si="184"/>
        <v>9.8053267166966069</v>
      </c>
      <c r="BB218">
        <f t="shared" si="201"/>
        <v>19.82924138158452</v>
      </c>
      <c r="BC218">
        <f t="shared" si="202"/>
        <v>-0.23266838097624554</v>
      </c>
      <c r="BD218">
        <f t="shared" si="185"/>
        <v>-193.33091627131358</v>
      </c>
      <c r="BF218">
        <f t="shared" si="186"/>
        <v>-5.7762882635380386</v>
      </c>
      <c r="BG218">
        <f t="shared" si="187"/>
        <v>-112.66420068004085</v>
      </c>
      <c r="BH218">
        <f t="shared" si="203"/>
        <v>67.33579931995915</v>
      </c>
      <c r="BI218">
        <f t="shared" si="204"/>
        <v>67.33579931995915</v>
      </c>
      <c r="BJ218">
        <f t="shared" si="188"/>
        <v>0</v>
      </c>
      <c r="BK218">
        <f t="shared" si="205"/>
        <v>0</v>
      </c>
      <c r="BM218">
        <f t="shared" si="206"/>
        <v>-25.605529645122559</v>
      </c>
      <c r="BN218">
        <f t="shared" si="189"/>
        <v>-99.33328440872728</v>
      </c>
      <c r="BQ218" s="66">
        <f t="shared" si="207"/>
        <v>36.731202181869655</v>
      </c>
      <c r="BR218" s="71"/>
      <c r="BS218" s="71"/>
      <c r="BT218" s="71">
        <v>12022.644</v>
      </c>
      <c r="BU218" s="71">
        <v>-3.2097500000000001</v>
      </c>
      <c r="BV218" s="71">
        <v>-205.79599999999999</v>
      </c>
      <c r="BW218" s="75"/>
      <c r="BY218" s="71"/>
      <c r="BZ218" s="71"/>
      <c r="CA218" s="71"/>
      <c r="CC218" s="71"/>
    </row>
    <row r="219" spans="1:81" x14ac:dyDescent="0.2">
      <c r="A219">
        <f t="shared" si="190"/>
        <v>92500</v>
      </c>
      <c r="B219">
        <f t="shared" si="191"/>
        <v>92.5</v>
      </c>
      <c r="C219">
        <f t="shared" si="159"/>
        <v>5.8400791465459267</v>
      </c>
      <c r="D219">
        <f t="shared" si="160"/>
        <v>1.3987177902255488</v>
      </c>
      <c r="F219">
        <f t="shared" si="161"/>
        <v>5.953709451263561E-4</v>
      </c>
      <c r="G219">
        <f t="shared" si="162"/>
        <v>1.0044052835715234E-2</v>
      </c>
      <c r="H219">
        <f t="shared" si="163"/>
        <v>-3.1315485971642851</v>
      </c>
      <c r="J219">
        <f t="shared" si="164"/>
        <v>15</v>
      </c>
      <c r="M219">
        <f t="shared" si="165"/>
        <v>3.647026116702503E-2</v>
      </c>
      <c r="N219">
        <f t="shared" si="166"/>
        <v>-1.5707963250000001</v>
      </c>
      <c r="O219">
        <f t="shared" si="167"/>
        <v>27.427375258292834</v>
      </c>
      <c r="P219">
        <f t="shared" si="168"/>
        <v>1.534328320740584</v>
      </c>
      <c r="Q219">
        <f t="shared" si="169"/>
        <v>37.988421979806176</v>
      </c>
      <c r="R219">
        <f t="shared" si="170"/>
        <v>1.5444694757597528</v>
      </c>
      <c r="S219">
        <f t="shared" si="171"/>
        <v>0.27822522148076295</v>
      </c>
      <c r="T219">
        <f t="shared" si="172"/>
        <v>-1.2888504481029053</v>
      </c>
      <c r="U219">
        <f t="shared" si="173"/>
        <v>0.99994532470466779</v>
      </c>
      <c r="V219">
        <f t="shared" si="174"/>
        <v>-1.0457130923037287E-2</v>
      </c>
      <c r="X219">
        <f t="shared" si="192"/>
        <v>-5.1711048999388023</v>
      </c>
      <c r="Y219">
        <f t="shared" si="175"/>
        <v>-87.326612698683761</v>
      </c>
      <c r="Z219">
        <f t="shared" si="193"/>
        <v>92.673387301316239</v>
      </c>
      <c r="AC219">
        <v>1</v>
      </c>
      <c r="AD219">
        <f t="shared" si="176"/>
        <v>27.409139234190004</v>
      </c>
      <c r="AE219">
        <f t="shared" si="177"/>
        <v>-1.593004481677722E-5</v>
      </c>
      <c r="AF219">
        <f t="shared" si="178"/>
        <v>1.5233111520952501E-3</v>
      </c>
      <c r="AG219">
        <f t="shared" si="194"/>
        <v>17984.300649461067</v>
      </c>
      <c r="AH219">
        <f t="shared" si="195"/>
        <v>-844.53574279607744</v>
      </c>
      <c r="AJ219">
        <f t="shared" si="179"/>
        <v>18000</v>
      </c>
      <c r="AK219">
        <f t="shared" si="180"/>
        <v>62141.330935529993</v>
      </c>
      <c r="AL219">
        <v>1</v>
      </c>
      <c r="AM219">
        <f t="shared" si="181"/>
        <v>37.975257793935</v>
      </c>
      <c r="AN219">
        <f t="shared" si="196"/>
        <v>1647.7027031388302</v>
      </c>
      <c r="AO219">
        <f t="shared" si="197"/>
        <v>-430.60398393063144</v>
      </c>
      <c r="AQ219">
        <f t="shared" si="182"/>
        <v>0.29217553906386956</v>
      </c>
      <c r="AR219">
        <f t="shared" si="183"/>
        <v>-54.052474726815873</v>
      </c>
      <c r="AT219">
        <f t="shared" si="209"/>
        <v>-40394.674156434659</v>
      </c>
      <c r="AU219">
        <f t="shared" si="210"/>
        <v>-972342.70902036282</v>
      </c>
      <c r="AV219">
        <f t="shared" si="198"/>
        <v>-1.6123161110116975</v>
      </c>
      <c r="AW219">
        <f t="shared" si="199"/>
        <v>19196.566633759277</v>
      </c>
      <c r="AX219">
        <f t="shared" si="200"/>
        <v>-97441.985999060911</v>
      </c>
      <c r="AY219">
        <f t="shared" si="208"/>
        <v>-1.3762821454459762</v>
      </c>
      <c r="BA219">
        <f t="shared" si="184"/>
        <v>9.7989470464083617</v>
      </c>
      <c r="BB219">
        <f t="shared" si="201"/>
        <v>19.823588214864177</v>
      </c>
      <c r="BC219">
        <f t="shared" si="202"/>
        <v>-0.23603396556572132</v>
      </c>
      <c r="BD219">
        <f t="shared" si="185"/>
        <v>-193.52375006410517</v>
      </c>
      <c r="BF219">
        <f t="shared" si="186"/>
        <v>-5.8304592132462743</v>
      </c>
      <c r="BG219">
        <f t="shared" si="187"/>
        <v>-112.80764202539191</v>
      </c>
      <c r="BH219">
        <f t="shared" si="203"/>
        <v>67.192357974608086</v>
      </c>
      <c r="BI219">
        <f t="shared" si="204"/>
        <v>67.192357974608086</v>
      </c>
      <c r="BJ219">
        <f t="shared" si="188"/>
        <v>0</v>
      </c>
      <c r="BK219">
        <f t="shared" si="205"/>
        <v>0</v>
      </c>
      <c r="BM219">
        <f t="shared" si="206"/>
        <v>-25.654047428110456</v>
      </c>
      <c r="BN219">
        <f t="shared" si="189"/>
        <v>-99.283891961286756</v>
      </c>
      <c r="BQ219" s="66">
        <f t="shared" si="207"/>
        <v>36.725549015149312</v>
      </c>
      <c r="BR219" s="71"/>
      <c r="BS219" s="71"/>
      <c r="BT219" s="71">
        <v>12302.688</v>
      </c>
      <c r="BU219" s="71">
        <v>-3.2360000000000002</v>
      </c>
      <c r="BV219" s="71">
        <v>-205.58</v>
      </c>
      <c r="BW219" s="75"/>
      <c r="BY219" s="71"/>
      <c r="BZ219" s="71"/>
      <c r="CA219" s="71"/>
      <c r="CC219" s="71"/>
    </row>
    <row r="220" spans="1:81" x14ac:dyDescent="0.2">
      <c r="A220">
        <f t="shared" si="190"/>
        <v>93000</v>
      </c>
      <c r="B220">
        <f t="shared" si="191"/>
        <v>93</v>
      </c>
      <c r="C220">
        <f t="shared" si="159"/>
        <v>5.8707239868816519</v>
      </c>
      <c r="D220">
        <f t="shared" si="160"/>
        <v>1.3996249310896085</v>
      </c>
      <c r="F220">
        <f t="shared" si="161"/>
        <v>5.8898284271640777E-4</v>
      </c>
      <c r="G220">
        <f t="shared" si="162"/>
        <v>9.9899918322521562E-3</v>
      </c>
      <c r="H220">
        <f t="shared" si="163"/>
        <v>-3.1316026581677479</v>
      </c>
      <c r="J220">
        <f t="shared" si="164"/>
        <v>15</v>
      </c>
      <c r="M220">
        <f t="shared" si="165"/>
        <v>3.6274184494084039E-2</v>
      </c>
      <c r="N220">
        <f t="shared" si="166"/>
        <v>-1.5707963250000001</v>
      </c>
      <c r="O220">
        <f t="shared" si="167"/>
        <v>27.575434789189512</v>
      </c>
      <c r="P220">
        <f t="shared" si="168"/>
        <v>1.5345242129001624</v>
      </c>
      <c r="Q220">
        <f t="shared" si="169"/>
        <v>38.193622892692808</v>
      </c>
      <c r="R220">
        <f t="shared" si="170"/>
        <v>1.5446109531025862</v>
      </c>
      <c r="S220">
        <f t="shared" si="171"/>
        <v>0.27684431785215896</v>
      </c>
      <c r="T220">
        <f t="shared" si="172"/>
        <v>-1.29028781810768</v>
      </c>
      <c r="U220">
        <f t="shared" si="173"/>
        <v>0.99994473207200252</v>
      </c>
      <c r="V220">
        <f t="shared" si="174"/>
        <v>-1.0513651800941309E-2</v>
      </c>
      <c r="X220">
        <f t="shared" si="192"/>
        <v>-5.2158388333002961</v>
      </c>
      <c r="Y220">
        <f t="shared" si="175"/>
        <v>-87.343998617109747</v>
      </c>
      <c r="Z220">
        <f t="shared" si="193"/>
        <v>92.656001382890253</v>
      </c>
      <c r="AC220">
        <v>1</v>
      </c>
      <c r="AD220">
        <f t="shared" si="176"/>
        <v>27.557296743564002</v>
      </c>
      <c r="AE220">
        <f t="shared" si="177"/>
        <v>-1.6102726968041628E-5</v>
      </c>
      <c r="AF220">
        <f t="shared" si="178"/>
        <v>1.5315452664309E-3</v>
      </c>
      <c r="AG220">
        <f t="shared" si="194"/>
        <v>17984.279332133796</v>
      </c>
      <c r="AH220">
        <f t="shared" si="195"/>
        <v>-842.02273877781488</v>
      </c>
      <c r="AJ220">
        <f t="shared" si="179"/>
        <v>18000</v>
      </c>
      <c r="AK220">
        <f t="shared" si="180"/>
        <v>62477.230021668001</v>
      </c>
      <c r="AL220">
        <v>1</v>
      </c>
      <c r="AM220">
        <f t="shared" si="181"/>
        <v>38.180529457685999</v>
      </c>
      <c r="AN220">
        <f t="shared" si="196"/>
        <v>1647.5811888035155</v>
      </c>
      <c r="AO220">
        <f t="shared" si="197"/>
        <v>-428.29209137393542</v>
      </c>
      <c r="AQ220">
        <f t="shared" si="182"/>
        <v>0.28904240252044977</v>
      </c>
      <c r="AR220">
        <f t="shared" si="183"/>
        <v>-53.76188686880365</v>
      </c>
      <c r="AT220">
        <f t="shared" si="209"/>
        <v>-40070.511917374271</v>
      </c>
      <c r="AU220">
        <f t="shared" si="210"/>
        <v>-967112.17114653392</v>
      </c>
      <c r="AV220">
        <f t="shared" si="198"/>
        <v>-1.6122058002048631</v>
      </c>
      <c r="AW220">
        <f t="shared" si="199"/>
        <v>19441.263651069639</v>
      </c>
      <c r="AX220">
        <f t="shared" si="200"/>
        <v>-96914.799534266422</v>
      </c>
      <c r="AY220">
        <f t="shared" si="208"/>
        <v>-1.3728223743625991</v>
      </c>
      <c r="BA220">
        <f t="shared" si="184"/>
        <v>9.7924693730043568</v>
      </c>
      <c r="BB220">
        <f t="shared" si="201"/>
        <v>19.817844438391422</v>
      </c>
      <c r="BC220">
        <f t="shared" si="202"/>
        <v>-0.23938342584226402</v>
      </c>
      <c r="BD220">
        <f t="shared" si="185"/>
        <v>-193.71566000181707</v>
      </c>
      <c r="BF220">
        <f t="shared" si="186"/>
        <v>-5.8844442556523209</v>
      </c>
      <c r="BG220">
        <f t="shared" si="187"/>
        <v>-112.95067408744815</v>
      </c>
      <c r="BH220">
        <f t="shared" si="203"/>
        <v>67.049325912551851</v>
      </c>
      <c r="BI220">
        <f t="shared" si="204"/>
        <v>67.049325912551851</v>
      </c>
      <c r="BJ220">
        <f t="shared" si="188"/>
        <v>0</v>
      </c>
      <c r="BK220">
        <f t="shared" si="205"/>
        <v>0</v>
      </c>
      <c r="BM220">
        <f t="shared" si="206"/>
        <v>-25.702288694043741</v>
      </c>
      <c r="BN220">
        <f t="shared" si="189"/>
        <v>-99.235014085631079</v>
      </c>
      <c r="BQ220" s="66">
        <f t="shared" si="207"/>
        <v>36.719805238676557</v>
      </c>
      <c r="BR220" s="71"/>
      <c r="BS220" s="71"/>
      <c r="BT220" s="71">
        <v>12589.254000000001</v>
      </c>
      <c r="BU220" s="71">
        <v>-3.6465100000000001</v>
      </c>
      <c r="BV220" s="71">
        <v>-203.78</v>
      </c>
      <c r="BW220" s="75"/>
      <c r="BY220" s="71"/>
      <c r="BZ220" s="71"/>
      <c r="CA220" s="71"/>
      <c r="CC220" s="71"/>
    </row>
    <row r="221" spans="1:81" x14ac:dyDescent="0.2">
      <c r="A221">
        <f t="shared" si="190"/>
        <v>93500</v>
      </c>
      <c r="B221">
        <f t="shared" si="191"/>
        <v>93.5</v>
      </c>
      <c r="C221">
        <f t="shared" si="159"/>
        <v>5.9013736080869217</v>
      </c>
      <c r="D221">
        <f t="shared" si="160"/>
        <v>1.4005226499564329</v>
      </c>
      <c r="F221">
        <f t="shared" si="161"/>
        <v>5.8269702251256415E-4</v>
      </c>
      <c r="G221">
        <f t="shared" si="162"/>
        <v>9.936509988318987E-3</v>
      </c>
      <c r="H221">
        <f t="shared" si="163"/>
        <v>-3.1316561400116814</v>
      </c>
      <c r="J221">
        <f t="shared" si="164"/>
        <v>15</v>
      </c>
      <c r="M221">
        <f t="shared" si="165"/>
        <v>3.6080204897858986E-2</v>
      </c>
      <c r="N221">
        <f t="shared" si="166"/>
        <v>-1.5707963250000001</v>
      </c>
      <c r="O221">
        <f t="shared" si="167"/>
        <v>27.723495366956175</v>
      </c>
      <c r="P221">
        <f t="shared" si="168"/>
        <v>1.5347180126970157</v>
      </c>
      <c r="Q221">
        <f t="shared" si="169"/>
        <v>38.398824561886194</v>
      </c>
      <c r="R221">
        <f t="shared" si="170"/>
        <v>1.5447509183505095</v>
      </c>
      <c r="S221">
        <f t="shared" si="171"/>
        <v>0.27547649335013652</v>
      </c>
      <c r="T221">
        <f t="shared" si="172"/>
        <v>-1.2917109875952406</v>
      </c>
      <c r="U221">
        <f t="shared" si="173"/>
        <v>0.99994413624561396</v>
      </c>
      <c r="V221">
        <f t="shared" si="174"/>
        <v>-1.0570172611668906E-2</v>
      </c>
      <c r="X221">
        <f t="shared" si="192"/>
        <v>-5.2603527467551547</v>
      </c>
      <c r="Y221">
        <f t="shared" si="175"/>
        <v>-87.361284079472838</v>
      </c>
      <c r="Z221">
        <f t="shared" si="193"/>
        <v>92.638715920527162</v>
      </c>
      <c r="AC221">
        <v>1</v>
      </c>
      <c r="AD221">
        <f t="shared" si="176"/>
        <v>27.705454252938004</v>
      </c>
      <c r="AE221">
        <f t="shared" si="177"/>
        <v>-1.6276340020391019E-5</v>
      </c>
      <c r="AF221">
        <f t="shared" si="178"/>
        <v>1.5397793807665503E-3</v>
      </c>
      <c r="AG221">
        <f t="shared" si="194"/>
        <v>17984.257899939261</v>
      </c>
      <c r="AH221">
        <f t="shared" si="195"/>
        <v>-839.54747851621403</v>
      </c>
      <c r="AJ221">
        <f t="shared" si="179"/>
        <v>18000</v>
      </c>
      <c r="AK221">
        <f t="shared" si="180"/>
        <v>62813.129107805995</v>
      </c>
      <c r="AL221">
        <v>1</v>
      </c>
      <c r="AM221">
        <f t="shared" si="181"/>
        <v>38.385801121436998</v>
      </c>
      <c r="AN221">
        <f t="shared" si="196"/>
        <v>1647.4616169161286</v>
      </c>
      <c r="AO221">
        <f t="shared" si="197"/>
        <v>-426.00487433754779</v>
      </c>
      <c r="AQ221">
        <f t="shared" si="182"/>
        <v>0.2859593937660852</v>
      </c>
      <c r="AR221">
        <f t="shared" si="183"/>
        <v>-53.474406634257939</v>
      </c>
      <c r="AT221">
        <f t="shared" si="209"/>
        <v>-39751.535768542395</v>
      </c>
      <c r="AU221">
        <f t="shared" si="210"/>
        <v>-961937.59644471202</v>
      </c>
      <c r="AV221">
        <f t="shared" si="198"/>
        <v>-1.6120972708952959</v>
      </c>
      <c r="AW221">
        <f t="shared" si="199"/>
        <v>19682.049047512537</v>
      </c>
      <c r="AX221">
        <f t="shared" si="200"/>
        <v>-96393.400803590193</v>
      </c>
      <c r="AY221">
        <f t="shared" si="208"/>
        <v>-1.3693803595404836</v>
      </c>
      <c r="BA221">
        <f t="shared" si="184"/>
        <v>9.7858955166862263</v>
      </c>
      <c r="BB221">
        <f t="shared" si="201"/>
        <v>19.812011490344599</v>
      </c>
      <c r="BC221">
        <f t="shared" si="202"/>
        <v>-0.24271691135481221</v>
      </c>
      <c r="BD221">
        <f t="shared" si="185"/>
        <v>-193.90665465297235</v>
      </c>
      <c r="BF221">
        <f t="shared" si="186"/>
        <v>-5.9382451478473879</v>
      </c>
      <c r="BG221">
        <f t="shared" si="187"/>
        <v>-113.09329752022779</v>
      </c>
      <c r="BH221">
        <f t="shared" si="203"/>
        <v>66.906702479772207</v>
      </c>
      <c r="BI221">
        <f t="shared" si="204"/>
        <v>66.906702479772207</v>
      </c>
      <c r="BJ221">
        <f t="shared" si="188"/>
        <v>0</v>
      </c>
      <c r="BK221">
        <f t="shared" si="205"/>
        <v>0</v>
      </c>
      <c r="BM221">
        <f t="shared" si="206"/>
        <v>-25.750256638191988</v>
      </c>
      <c r="BN221">
        <f t="shared" si="189"/>
        <v>-99.186642867255472</v>
      </c>
      <c r="BQ221" s="66">
        <f t="shared" si="207"/>
        <v>36.713972290629741</v>
      </c>
      <c r="BR221" s="71"/>
      <c r="BS221" s="71"/>
      <c r="BT221" s="71">
        <v>12882.495999999999</v>
      </c>
      <c r="BU221" s="71">
        <v>-3.6234700000000002</v>
      </c>
      <c r="BV221" s="71">
        <v>-201.71899999999999</v>
      </c>
      <c r="BW221" s="75"/>
      <c r="BY221" s="71"/>
      <c r="BZ221" s="71"/>
      <c r="CA221" s="71"/>
      <c r="CC221" s="71"/>
    </row>
    <row r="222" spans="1:81" x14ac:dyDescent="0.2">
      <c r="A222">
        <f t="shared" si="190"/>
        <v>94000</v>
      </c>
      <c r="B222">
        <f t="shared" si="191"/>
        <v>94</v>
      </c>
      <c r="C222">
        <f t="shared" si="159"/>
        <v>5.9320279360563033</v>
      </c>
      <c r="D222">
        <f t="shared" si="160"/>
        <v>1.4014110914349958</v>
      </c>
      <c r="F222">
        <f t="shared" si="161"/>
        <v>5.7651131215950217E-4</v>
      </c>
      <c r="G222">
        <f t="shared" si="162"/>
        <v>9.8835980415806265E-3</v>
      </c>
      <c r="H222">
        <f t="shared" si="163"/>
        <v>-3.1317090519584196</v>
      </c>
      <c r="J222">
        <f t="shared" si="164"/>
        <v>15</v>
      </c>
      <c r="M222">
        <f t="shared" si="165"/>
        <v>3.5888288914359738E-2</v>
      </c>
      <c r="N222">
        <f t="shared" si="166"/>
        <v>-1.5707963250000001</v>
      </c>
      <c r="O222">
        <f t="shared" si="167"/>
        <v>27.871556974909126</v>
      </c>
      <c r="P222">
        <f t="shared" si="168"/>
        <v>1.5349097534621401</v>
      </c>
      <c r="Q222">
        <f t="shared" si="169"/>
        <v>38.604026975325752</v>
      </c>
      <c r="R222">
        <f t="shared" si="170"/>
        <v>1.5448893956109337</v>
      </c>
      <c r="S222">
        <f t="shared" si="171"/>
        <v>0.27412157156626743</v>
      </c>
      <c r="T222">
        <f t="shared" si="172"/>
        <v>-1.2931201602919546</v>
      </c>
      <c r="U222">
        <f t="shared" si="173"/>
        <v>0.99994353722551976</v>
      </c>
      <c r="V222">
        <f t="shared" si="174"/>
        <v>-1.0626693354859077E-2</v>
      </c>
      <c r="X222">
        <f t="shared" si="192"/>
        <v>-5.3046487216638774</v>
      </c>
      <c r="Y222">
        <f t="shared" si="175"/>
        <v>-87.378469712643835</v>
      </c>
      <c r="Z222">
        <f t="shared" si="193"/>
        <v>92.621530287356165</v>
      </c>
      <c r="AC222">
        <v>1</v>
      </c>
      <c r="AD222">
        <f t="shared" si="176"/>
        <v>27.853611762312003</v>
      </c>
      <c r="AE222">
        <f t="shared" si="177"/>
        <v>-1.6450883973825393E-5</v>
      </c>
      <c r="AF222">
        <f t="shared" si="178"/>
        <v>1.5480134951022001E-3</v>
      </c>
      <c r="AG222">
        <f t="shared" si="194"/>
        <v>17984.236352878284</v>
      </c>
      <c r="AH222">
        <f t="shared" si="195"/>
        <v>-837.10935963998213</v>
      </c>
      <c r="AJ222">
        <f t="shared" si="179"/>
        <v>18000</v>
      </c>
      <c r="AK222">
        <f t="shared" si="180"/>
        <v>63149.028193944003</v>
      </c>
      <c r="AL222">
        <v>1</v>
      </c>
      <c r="AM222">
        <f t="shared" si="181"/>
        <v>38.591072785187997</v>
      </c>
      <c r="AN222">
        <f t="shared" si="196"/>
        <v>1647.3439463044551</v>
      </c>
      <c r="AO222">
        <f t="shared" si="197"/>
        <v>-423.74194013005035</v>
      </c>
      <c r="AQ222">
        <f t="shared" si="182"/>
        <v>0.28292544914415052</v>
      </c>
      <c r="AR222">
        <f t="shared" si="183"/>
        <v>-53.1899844391003</v>
      </c>
      <c r="AT222">
        <f t="shared" si="209"/>
        <v>-39437.635665423215</v>
      </c>
      <c r="AU222">
        <f t="shared" si="210"/>
        <v>-956818.09130025678</v>
      </c>
      <c r="AV222">
        <f t="shared" si="198"/>
        <v>-1.6119904947109964</v>
      </c>
      <c r="AW222">
        <f t="shared" si="199"/>
        <v>19919.005703050974</v>
      </c>
      <c r="AX222">
        <f t="shared" si="200"/>
        <v>-95877.694814891016</v>
      </c>
      <c r="AY222">
        <f t="shared" si="208"/>
        <v>-1.3659559254954077</v>
      </c>
      <c r="BA222">
        <f t="shared" si="184"/>
        <v>9.779227263040756</v>
      </c>
      <c r="BB222">
        <f t="shared" si="201"/>
        <v>19.806090779481917</v>
      </c>
      <c r="BC222">
        <f t="shared" si="202"/>
        <v>-0.24603456921558875</v>
      </c>
      <c r="BD222">
        <f t="shared" si="185"/>
        <v>-194.09674244648045</v>
      </c>
      <c r="BF222">
        <f t="shared" si="186"/>
        <v>-5.9918636205769094</v>
      </c>
      <c r="BG222">
        <f t="shared" si="187"/>
        <v>-113.23551299784911</v>
      </c>
      <c r="BH222">
        <f t="shared" si="203"/>
        <v>66.764487002150886</v>
      </c>
      <c r="BI222">
        <f t="shared" si="204"/>
        <v>66.764487002150886</v>
      </c>
      <c r="BJ222">
        <f t="shared" si="188"/>
        <v>0</v>
      </c>
      <c r="BK222">
        <f t="shared" si="205"/>
        <v>0</v>
      </c>
      <c r="BM222">
        <f t="shared" si="206"/>
        <v>-25.797954400058821</v>
      </c>
      <c r="BN222">
        <f t="shared" si="189"/>
        <v>-99.13877055136868</v>
      </c>
      <c r="BQ222" s="66">
        <f t="shared" si="207"/>
        <v>36.708051579767051</v>
      </c>
      <c r="BR222" s="71"/>
      <c r="BS222" s="71"/>
      <c r="BT222" s="71">
        <v>13182.566999999999</v>
      </c>
      <c r="BU222" s="71">
        <v>-4.1132799999999996</v>
      </c>
      <c r="BV222" s="71">
        <v>-198.27600000000001</v>
      </c>
      <c r="BW222" s="75"/>
      <c r="BY222" s="71"/>
      <c r="BZ222" s="71"/>
      <c r="CA222" s="71"/>
      <c r="CC222" s="71"/>
    </row>
    <row r="223" spans="1:81" x14ac:dyDescent="0.2">
      <c r="A223">
        <f t="shared" si="190"/>
        <v>94500</v>
      </c>
      <c r="B223">
        <f t="shared" si="191"/>
        <v>94.5</v>
      </c>
      <c r="C223">
        <f t="shared" si="159"/>
        <v>5.9626868981970054</v>
      </c>
      <c r="D223">
        <f t="shared" si="160"/>
        <v>1.4022903972193386</v>
      </c>
      <c r="F223">
        <f t="shared" si="161"/>
        <v>5.7042359668003624E-4</v>
      </c>
      <c r="G223">
        <f t="shared" si="162"/>
        <v>9.8312469262669053E-3</v>
      </c>
      <c r="H223">
        <f t="shared" si="163"/>
        <v>-3.1317614030737335</v>
      </c>
      <c r="J223">
        <f t="shared" si="164"/>
        <v>15</v>
      </c>
      <c r="M223">
        <f t="shared" si="165"/>
        <v>3.5698403787828736E-2</v>
      </c>
      <c r="N223">
        <f t="shared" si="166"/>
        <v>-1.5707963250000001</v>
      </c>
      <c r="O223">
        <f t="shared" si="167"/>
        <v>28.019619596717199</v>
      </c>
      <c r="P223">
        <f t="shared" si="168"/>
        <v>1.5350994678226277</v>
      </c>
      <c r="Q223">
        <f t="shared" si="169"/>
        <v>38.809230121205964</v>
      </c>
      <c r="R223">
        <f t="shared" si="170"/>
        <v>1.5450264084816316</v>
      </c>
      <c r="S223">
        <f t="shared" si="171"/>
        <v>0.27277937907392719</v>
      </c>
      <c r="T223">
        <f t="shared" si="172"/>
        <v>-1.2945155361589258</v>
      </c>
      <c r="U223">
        <f t="shared" si="173"/>
        <v>0.99994293501173681</v>
      </c>
      <c r="V223">
        <f t="shared" si="174"/>
        <v>-1.0683214030150828E-2</v>
      </c>
      <c r="X223">
        <f t="shared" si="192"/>
        <v>-5.3487288107246878</v>
      </c>
      <c r="Y223">
        <f t="shared" si="175"/>
        <v>-87.395556153041753</v>
      </c>
      <c r="Z223">
        <f t="shared" si="193"/>
        <v>92.604443846958247</v>
      </c>
      <c r="AC223">
        <v>1</v>
      </c>
      <c r="AD223">
        <f t="shared" si="176"/>
        <v>28.001769271686001</v>
      </c>
      <c r="AE223">
        <f t="shared" si="177"/>
        <v>-1.662635882834475E-5</v>
      </c>
      <c r="AF223">
        <f t="shared" si="178"/>
        <v>1.55624760943785E-3</v>
      </c>
      <c r="AG223">
        <f t="shared" si="194"/>
        <v>17984.2146909517</v>
      </c>
      <c r="AH223">
        <f t="shared" si="195"/>
        <v>-834.70779252601267</v>
      </c>
      <c r="AJ223">
        <f t="shared" si="179"/>
        <v>18000</v>
      </c>
      <c r="AK223">
        <f t="shared" si="180"/>
        <v>63484.927280081996</v>
      </c>
      <c r="AL223">
        <v>1</v>
      </c>
      <c r="AM223">
        <f t="shared" si="181"/>
        <v>38.796344448939003</v>
      </c>
      <c r="AN223">
        <f t="shared" si="196"/>
        <v>1647.2281368811459</v>
      </c>
      <c r="AO223">
        <f t="shared" si="197"/>
        <v>-421.50290434299075</v>
      </c>
      <c r="AQ223">
        <f t="shared" si="182"/>
        <v>0.27993953306085884</v>
      </c>
      <c r="AR223">
        <f t="shared" si="183"/>
        <v>-52.908571748502325</v>
      </c>
      <c r="AT223">
        <f t="shared" si="209"/>
        <v>-39128.70446684528</v>
      </c>
      <c r="AU223">
        <f t="shared" si="210"/>
        <v>-951752.78102636954</v>
      </c>
      <c r="AV223">
        <f t="shared" si="198"/>
        <v>-1.6118854438789154</v>
      </c>
      <c r="AW223">
        <f t="shared" si="199"/>
        <v>20152.214314600464</v>
      </c>
      <c r="AX223">
        <f t="shared" si="200"/>
        <v>-95367.588655488813</v>
      </c>
      <c r="AY223">
        <f t="shared" si="208"/>
        <v>-1.362548899728236</v>
      </c>
      <c r="BA223">
        <f t="shared" si="184"/>
        <v>9.7724663639001133</v>
      </c>
      <c r="BB223">
        <f t="shared" si="201"/>
        <v>19.800083685953254</v>
      </c>
      <c r="BC223">
        <f t="shared" si="202"/>
        <v>-0.24933654415067941</v>
      </c>
      <c r="BD223">
        <f t="shared" si="185"/>
        <v>-194.28593167453531</v>
      </c>
      <c r="BF223">
        <f t="shared" si="186"/>
        <v>-6.0453013787274763</v>
      </c>
      <c r="BG223">
        <f t="shared" si="187"/>
        <v>-113.37732121346583</v>
      </c>
      <c r="BH223">
        <f t="shared" si="203"/>
        <v>66.622678786534166</v>
      </c>
      <c r="BI223">
        <f t="shared" si="204"/>
        <v>66.622678786534166</v>
      </c>
      <c r="BJ223">
        <f t="shared" si="188"/>
        <v>0</v>
      </c>
      <c r="BK223">
        <f t="shared" si="205"/>
        <v>0</v>
      </c>
      <c r="BM223">
        <f t="shared" si="206"/>
        <v>-25.84538506468073</v>
      </c>
      <c r="BN223">
        <f t="shared" si="189"/>
        <v>-99.091389538930542</v>
      </c>
      <c r="BQ223" s="66">
        <f t="shared" si="207"/>
        <v>36.702044486238393</v>
      </c>
      <c r="BR223" s="71"/>
      <c r="BS223" s="71"/>
      <c r="BT223" s="71">
        <v>13489.629000000001</v>
      </c>
      <c r="BU223" s="71">
        <v>-3.8779599999999999</v>
      </c>
      <c r="BV223" s="71">
        <v>-197.578</v>
      </c>
      <c r="BW223" s="75"/>
      <c r="BY223" s="71"/>
      <c r="BZ223" s="71"/>
      <c r="CA223" s="71"/>
      <c r="CC223" s="71"/>
    </row>
    <row r="224" spans="1:81" x14ac:dyDescent="0.2">
      <c r="A224">
        <f t="shared" si="190"/>
        <v>95000</v>
      </c>
      <c r="B224">
        <f t="shared" si="191"/>
        <v>95</v>
      </c>
      <c r="C224">
        <f t="shared" si="159"/>
        <v>5.9933504233907708</v>
      </c>
      <c r="D224">
        <f t="shared" si="160"/>
        <v>1.4031607061608973</v>
      </c>
      <c r="F224">
        <f t="shared" si="161"/>
        <v>5.6443181666574176E-4</v>
      </c>
      <c r="G224">
        <f t="shared" si="162"/>
        <v>9.779447767983002E-3</v>
      </c>
      <c r="H224">
        <f t="shared" si="163"/>
        <v>-3.1318132022320171</v>
      </c>
      <c r="J224">
        <f t="shared" si="164"/>
        <v>15</v>
      </c>
      <c r="M224">
        <f t="shared" si="165"/>
        <v>3.5510517452103318E-2</v>
      </c>
      <c r="N224">
        <f t="shared" si="166"/>
        <v>-1.5707963250000001</v>
      </c>
      <c r="O224">
        <f t="shared" si="167"/>
        <v>28.16768321639249</v>
      </c>
      <c r="P224">
        <f t="shared" si="168"/>
        <v>1.5352871877201431</v>
      </c>
      <c r="Q224">
        <f t="shared" si="169"/>
        <v>39.014433987969639</v>
      </c>
      <c r="R224">
        <f t="shared" si="170"/>
        <v>1.5451619800641305</v>
      </c>
      <c r="S224">
        <f t="shared" si="171"/>
        <v>0.27144974537024047</v>
      </c>
      <c r="T224">
        <f t="shared" si="172"/>
        <v>-1.295897311475755</v>
      </c>
      <c r="U224">
        <f t="shared" si="173"/>
        <v>0.99994232960428242</v>
      </c>
      <c r="V224">
        <f t="shared" si="174"/>
        <v>-1.0739734637183153E-2</v>
      </c>
      <c r="X224">
        <f t="shared" si="192"/>
        <v>-5.3925950384928898</v>
      </c>
      <c r="Y224">
        <f t="shared" si="175"/>
        <v>-87.4125440457601</v>
      </c>
      <c r="Z224">
        <f t="shared" si="193"/>
        <v>92.5874559542399</v>
      </c>
      <c r="AC224">
        <v>1</v>
      </c>
      <c r="AD224">
        <f t="shared" si="176"/>
        <v>28.149926781060003</v>
      </c>
      <c r="AE224">
        <f t="shared" si="177"/>
        <v>-1.6802764583949094E-5</v>
      </c>
      <c r="AF224">
        <f t="shared" si="178"/>
        <v>1.5644817237735001E-3</v>
      </c>
      <c r="AG224">
        <f t="shared" si="194"/>
        <v>17984.192914160332</v>
      </c>
      <c r="AH224">
        <f t="shared" si="195"/>
        <v>-832.34219996390766</v>
      </c>
      <c r="AJ224">
        <f t="shared" si="179"/>
        <v>18000</v>
      </c>
      <c r="AK224">
        <f t="shared" si="180"/>
        <v>63820.826366220004</v>
      </c>
      <c r="AL224">
        <v>1</v>
      </c>
      <c r="AM224">
        <f t="shared" si="181"/>
        <v>39.001616112689995</v>
      </c>
      <c r="AN224">
        <f t="shared" si="196"/>
        <v>1647.1141496096088</v>
      </c>
      <c r="AO224">
        <f t="shared" si="197"/>
        <v>-419.28739063378544</v>
      </c>
      <c r="AQ224">
        <f t="shared" si="182"/>
        <v>0.27700063710146533</v>
      </c>
      <c r="AR224">
        <f t="shared" si="183"/>
        <v>-52.630121049278415</v>
      </c>
      <c r="AT224">
        <f t="shared" si="209"/>
        <v>-38824.63784354509</v>
      </c>
      <c r="AU224">
        <f t="shared" si="210"/>
        <v>-946740.80936550989</v>
      </c>
      <c r="AV224">
        <f t="shared" si="198"/>
        <v>-1.6117820912092378</v>
      </c>
      <c r="AW224">
        <f t="shared" si="199"/>
        <v>20381.753464649541</v>
      </c>
      <c r="AX224">
        <f t="shared" si="200"/>
        <v>-94862.991435282704</v>
      </c>
      <c r="AY224">
        <f t="shared" si="208"/>
        <v>-1.3591591126597178</v>
      </c>
      <c r="BA224">
        <f t="shared" si="184"/>
        <v>9.7656145381758712</v>
      </c>
      <c r="BB224">
        <f t="shared" si="201"/>
        <v>19.793991562085196</v>
      </c>
      <c r="BC224">
        <f t="shared" si="202"/>
        <v>-0.25262297854951998</v>
      </c>
      <c r="BD224">
        <f t="shared" si="185"/>
        <v>-194.47423049545066</v>
      </c>
      <c r="BF224">
        <f t="shared" si="186"/>
        <v>-6.0985601018029003</v>
      </c>
      <c r="BG224">
        <f t="shared" si="187"/>
        <v>-113.51872287825576</v>
      </c>
      <c r="BH224">
        <f t="shared" si="203"/>
        <v>66.481277121744242</v>
      </c>
      <c r="BI224">
        <f t="shared" si="204"/>
        <v>66.481277121744242</v>
      </c>
      <c r="BJ224">
        <f t="shared" si="188"/>
        <v>0</v>
      </c>
      <c r="BK224">
        <f t="shared" si="205"/>
        <v>0</v>
      </c>
      <c r="BM224">
        <f t="shared" si="206"/>
        <v>-25.892551663888099</v>
      </c>
      <c r="BN224">
        <f t="shared" si="189"/>
        <v>-99.044492382805117</v>
      </c>
      <c r="BQ224" s="66">
        <f t="shared" si="207"/>
        <v>36.695952362370335</v>
      </c>
      <c r="BR224" s="71"/>
      <c r="BS224" s="71"/>
      <c r="BT224" s="71">
        <v>13803.843000000001</v>
      </c>
      <c r="BU224" s="71">
        <v>-4.0306600000000001</v>
      </c>
      <c r="BV224" s="71">
        <v>-195.64599999999999</v>
      </c>
      <c r="BW224" s="75"/>
      <c r="BY224" s="71"/>
      <c r="BZ224" s="71"/>
      <c r="CA224" s="71"/>
      <c r="CC224" s="71"/>
    </row>
    <row r="225" spans="1:81" x14ac:dyDescent="0.2">
      <c r="A225">
        <f t="shared" si="190"/>
        <v>95500</v>
      </c>
      <c r="B225">
        <f t="shared" si="191"/>
        <v>95.5</v>
      </c>
      <c r="C225">
        <f t="shared" si="159"/>
        <v>6.0240184419568896</v>
      </c>
      <c r="D225">
        <f t="shared" si="160"/>
        <v>1.4040221543387119</v>
      </c>
      <c r="F225">
        <f t="shared" si="161"/>
        <v>5.5853396653380888E-4</v>
      </c>
      <c r="G225">
        <f t="shared" si="162"/>
        <v>9.7281918786834773E-3</v>
      </c>
      <c r="H225">
        <f t="shared" si="163"/>
        <v>-3.1318644581213166</v>
      </c>
      <c r="J225">
        <f t="shared" si="164"/>
        <v>15</v>
      </c>
      <c r="M225">
        <f t="shared" si="165"/>
        <v>3.5324598512563511E-2</v>
      </c>
      <c r="N225">
        <f t="shared" si="166"/>
        <v>-1.5707963250000001</v>
      </c>
      <c r="O225">
        <f t="shared" si="167"/>
        <v>28.315747818281398</v>
      </c>
      <c r="P225">
        <f t="shared" si="168"/>
        <v>1.5354729444288209</v>
      </c>
      <c r="Q225">
        <f t="shared" si="169"/>
        <v>39.219638564301412</v>
      </c>
      <c r="R225">
        <f t="shared" si="170"/>
        <v>1.5452961329766854</v>
      </c>
      <c r="S225">
        <f t="shared" si="171"/>
        <v>0.27013250281922313</v>
      </c>
      <c r="T225">
        <f t="shared" si="172"/>
        <v>-1.2972656789221586</v>
      </c>
      <c r="U225">
        <f t="shared" si="173"/>
        <v>0.99994172100317402</v>
      </c>
      <c r="V225">
        <f t="shared" si="174"/>
        <v>-1.0796255175595062E-2</v>
      </c>
      <c r="X225">
        <f t="shared" si="192"/>
        <v>-5.4362494018882899</v>
      </c>
      <c r="Y225">
        <f t="shared" si="175"/>
        <v>-87.429434043740017</v>
      </c>
      <c r="Z225">
        <f t="shared" si="193"/>
        <v>92.570565956259983</v>
      </c>
      <c r="AC225">
        <v>1</v>
      </c>
      <c r="AD225">
        <f t="shared" si="176"/>
        <v>28.298084290434002</v>
      </c>
      <c r="AE225">
        <f t="shared" si="177"/>
        <v>-1.6980101240638418E-5</v>
      </c>
      <c r="AF225">
        <f t="shared" si="178"/>
        <v>1.5727158381091501E-3</v>
      </c>
      <c r="AG225">
        <f t="shared" si="194"/>
        <v>17984.171022505016</v>
      </c>
      <c r="AH225">
        <f t="shared" si="195"/>
        <v>-830.01201683103727</v>
      </c>
      <c r="AJ225">
        <f t="shared" si="179"/>
        <v>18000</v>
      </c>
      <c r="AK225">
        <f t="shared" si="180"/>
        <v>64156.725452357998</v>
      </c>
      <c r="AL225">
        <v>1</v>
      </c>
      <c r="AM225">
        <f t="shared" si="181"/>
        <v>39.206887776441</v>
      </c>
      <c r="AN225">
        <f t="shared" si="196"/>
        <v>1647.0019464711279</v>
      </c>
      <c r="AO225">
        <f t="shared" si="197"/>
        <v>-417.09503051540889</v>
      </c>
      <c r="AQ225">
        <f t="shared" si="182"/>
        <v>0.2741077791787731</v>
      </c>
      <c r="AR225">
        <f t="shared" si="183"/>
        <v>-52.354585823145662</v>
      </c>
      <c r="AT225">
        <f t="shared" si="209"/>
        <v>-38525.334190072666</v>
      </c>
      <c r="AU225">
        <f t="shared" si="210"/>
        <v>-941781.3380064934</v>
      </c>
      <c r="AV225">
        <f t="shared" si="198"/>
        <v>-1.6116804100801596</v>
      </c>
      <c r="AW225">
        <f t="shared" si="199"/>
        <v>20607.69968737759</v>
      </c>
      <c r="AX225">
        <f t="shared" si="200"/>
        <v>-94363.814231733239</v>
      </c>
      <c r="AY225">
        <f t="shared" si="208"/>
        <v>-1.3557863975668445</v>
      </c>
      <c r="BA225">
        <f t="shared" si="184"/>
        <v>9.7586734726679403</v>
      </c>
      <c r="BB225">
        <f t="shared" si="201"/>
        <v>19.787815733140356</v>
      </c>
      <c r="BC225">
        <f t="shared" si="202"/>
        <v>-0.25589401251331512</v>
      </c>
      <c r="BD225">
        <f t="shared" si="185"/>
        <v>-194.66164693643421</v>
      </c>
      <c r="BF225">
        <f t="shared" si="186"/>
        <v>-6.1516414443896164</v>
      </c>
      <c r="BG225">
        <f t="shared" si="187"/>
        <v>-113.65971872046032</v>
      </c>
      <c r="BH225">
        <f t="shared" si="203"/>
        <v>66.340281279539681</v>
      </c>
      <c r="BI225">
        <f t="shared" si="204"/>
        <v>66.340281279539681</v>
      </c>
      <c r="BJ225">
        <f t="shared" si="188"/>
        <v>0</v>
      </c>
      <c r="BK225">
        <f t="shared" si="205"/>
        <v>0</v>
      </c>
      <c r="BM225">
        <f t="shared" si="206"/>
        <v>-25.939457177529974</v>
      </c>
      <c r="BN225">
        <f t="shared" si="189"/>
        <v>-98.998071784026109</v>
      </c>
      <c r="BQ225" s="66">
        <f t="shared" si="207"/>
        <v>36.689776533425494</v>
      </c>
      <c r="BR225" s="71"/>
      <c r="BS225" s="71"/>
      <c r="BT225" s="71">
        <v>14125.375</v>
      </c>
      <c r="BU225" s="71">
        <v>-4.0179099999999996</v>
      </c>
      <c r="BV225" s="71">
        <v>-192.58199999999999</v>
      </c>
      <c r="BW225" s="75"/>
      <c r="BY225" s="71"/>
      <c r="BZ225" s="71"/>
      <c r="CA225" s="71"/>
      <c r="CC225" s="71"/>
    </row>
    <row r="226" spans="1:81" x14ac:dyDescent="0.2">
      <c r="A226">
        <f t="shared" si="190"/>
        <v>96000</v>
      </c>
      <c r="B226">
        <f t="shared" si="191"/>
        <v>96</v>
      </c>
      <c r="C226">
        <f t="shared" si="159"/>
        <v>6.0546908856163242</v>
      </c>
      <c r="D226">
        <f t="shared" si="160"/>
        <v>1.4048748751275841</v>
      </c>
      <c r="F226">
        <f t="shared" si="161"/>
        <v>5.5272809284736949E-4</v>
      </c>
      <c r="G226">
        <f t="shared" si="162"/>
        <v>9.6774707518039634E-3</v>
      </c>
      <c r="H226">
        <f t="shared" si="163"/>
        <v>-3.1319151792481961</v>
      </c>
      <c r="J226">
        <f t="shared" si="164"/>
        <v>15</v>
      </c>
      <c r="M226">
        <f t="shared" si="165"/>
        <v>3.5140616228643909E-2</v>
      </c>
      <c r="N226">
        <f t="shared" si="166"/>
        <v>-1.5707963250000001</v>
      </c>
      <c r="O226">
        <f t="shared" si="167"/>
        <v>28.463813387055925</v>
      </c>
      <c r="P226">
        <f t="shared" si="168"/>
        <v>1.5356567685726059</v>
      </c>
      <c r="Q226">
        <f t="shared" si="169"/>
        <v>39.424843839121486</v>
      </c>
      <c r="R226">
        <f t="shared" si="170"/>
        <v>1.5454288893668491</v>
      </c>
      <c r="S226">
        <f t="shared" si="171"/>
        <v>0.26882748659609801</v>
      </c>
      <c r="T226">
        <f t="shared" si="172"/>
        <v>-1.298620827657508</v>
      </c>
      <c r="U226">
        <f t="shared" si="173"/>
        <v>0.99994110920842938</v>
      </c>
      <c r="V226">
        <f t="shared" si="174"/>
        <v>-1.0852775645025563E-2</v>
      </c>
      <c r="X226">
        <f t="shared" si="192"/>
        <v>-5.4796938706910323</v>
      </c>
      <c r="Y226">
        <f t="shared" si="175"/>
        <v>-87.446226806987298</v>
      </c>
      <c r="Z226">
        <f t="shared" si="193"/>
        <v>92.553773193012702</v>
      </c>
      <c r="AC226">
        <v>1</v>
      </c>
      <c r="AD226">
        <f t="shared" si="176"/>
        <v>28.446241799808</v>
      </c>
      <c r="AE226">
        <f t="shared" si="177"/>
        <v>-1.7158368798412725E-5</v>
      </c>
      <c r="AF226">
        <f t="shared" si="178"/>
        <v>1.5809499524448E-3</v>
      </c>
      <c r="AG226">
        <f t="shared" si="194"/>
        <v>17984.149015986586</v>
      </c>
      <c r="AH226">
        <f t="shared" si="195"/>
        <v>-827.71668977775505</v>
      </c>
      <c r="AJ226">
        <f t="shared" si="179"/>
        <v>18000</v>
      </c>
      <c r="AK226">
        <f t="shared" si="180"/>
        <v>64492.624538495991</v>
      </c>
      <c r="AL226">
        <v>1</v>
      </c>
      <c r="AM226">
        <f t="shared" si="181"/>
        <v>39.412159440191999</v>
      </c>
      <c r="AN226">
        <f t="shared" si="196"/>
        <v>1646.8914904331973</v>
      </c>
      <c r="AO226">
        <f t="shared" si="197"/>
        <v>-414.92546315262587</v>
      </c>
      <c r="AQ226">
        <f t="shared" si="182"/>
        <v>0.27126000271260003</v>
      </c>
      <c r="AR226">
        <f t="shared" si="183"/>
        <v>-52.081920520819203</v>
      </c>
      <c r="AT226">
        <f t="shared" si="209"/>
        <v>-38230.69453990028</v>
      </c>
      <c r="AU226">
        <f t="shared" si="210"/>
        <v>-936873.54611669667</v>
      </c>
      <c r="AV226">
        <f t="shared" si="198"/>
        <v>-1.6115803744231409</v>
      </c>
      <c r="AW226">
        <f t="shared" si="199"/>
        <v>20830.127532373888</v>
      </c>
      <c r="AX226">
        <f t="shared" si="200"/>
        <v>-93869.970036640021</v>
      </c>
      <c r="AY226">
        <f t="shared" si="208"/>
        <v>-1.3524305905207317</v>
      </c>
      <c r="BA226">
        <f t="shared" si="184"/>
        <v>9.751644822848986</v>
      </c>
      <c r="BB226">
        <f t="shared" si="201"/>
        <v>19.781557498051782</v>
      </c>
      <c r="BC226">
        <f t="shared" si="202"/>
        <v>-0.25914978390240928</v>
      </c>
      <c r="BD226">
        <f t="shared" si="185"/>
        <v>-194.84818889630191</v>
      </c>
      <c r="BF226">
        <f t="shared" si="186"/>
        <v>-6.2045470366118849</v>
      </c>
      <c r="BG226">
        <f t="shared" si="187"/>
        <v>-113.80030948447239</v>
      </c>
      <c r="BH226">
        <f t="shared" si="203"/>
        <v>66.199690515527607</v>
      </c>
      <c r="BI226">
        <f t="shared" si="204"/>
        <v>66.199690515527607</v>
      </c>
      <c r="BJ226">
        <f t="shared" si="188"/>
        <v>0</v>
      </c>
      <c r="BK226">
        <f t="shared" si="205"/>
        <v>0</v>
      </c>
      <c r="BM226">
        <f t="shared" si="206"/>
        <v>-25.986104534663667</v>
      </c>
      <c r="BN226">
        <f t="shared" si="189"/>
        <v>-98.952120588170501</v>
      </c>
      <c r="BQ226" s="66">
        <f t="shared" si="207"/>
        <v>36.683518298336921</v>
      </c>
      <c r="BR226" s="71"/>
      <c r="BS226" s="71"/>
      <c r="BT226" s="71">
        <v>14454.397999999999</v>
      </c>
      <c r="BU226" s="71">
        <v>-3.9652699999999999</v>
      </c>
      <c r="BV226" s="71">
        <v>-192.25399999999999</v>
      </c>
      <c r="BW226" s="75"/>
      <c r="BY226" s="71"/>
      <c r="BZ226" s="71"/>
      <c r="CA226" s="71"/>
      <c r="CC226" s="71"/>
    </row>
    <row r="227" spans="1:81" x14ac:dyDescent="0.2">
      <c r="A227">
        <f t="shared" si="190"/>
        <v>96500</v>
      </c>
      <c r="B227">
        <f t="shared" si="191"/>
        <v>96.5</v>
      </c>
      <c r="C227">
        <f t="shared" si="159"/>
        <v>6.0853676874568823</v>
      </c>
      <c r="D227">
        <f t="shared" si="160"/>
        <v>1.4057189992642583</v>
      </c>
      <c r="F227">
        <f t="shared" si="161"/>
        <v>5.4701229269666892E-4</v>
      </c>
      <c r="G227">
        <f t="shared" si="162"/>
        <v>9.6272760575447525E-3</v>
      </c>
      <c r="H227">
        <f t="shared" si="163"/>
        <v>-3.1319653739424553</v>
      </c>
      <c r="J227">
        <f t="shared" si="164"/>
        <v>15</v>
      </c>
      <c r="M227">
        <f t="shared" si="165"/>
        <v>3.4958540496889276E-2</v>
      </c>
      <c r="N227">
        <f t="shared" si="166"/>
        <v>-1.5707963250000001</v>
      </c>
      <c r="O227">
        <f t="shared" si="167"/>
        <v>28.611879907705262</v>
      </c>
      <c r="P227">
        <f t="shared" si="168"/>
        <v>1.535838690142056</v>
      </c>
      <c r="Q227">
        <f t="shared" si="169"/>
        <v>39.630049801579496</v>
      </c>
      <c r="R227">
        <f t="shared" si="170"/>
        <v>1.5455602709236496</v>
      </c>
      <c r="S227">
        <f t="shared" si="171"/>
        <v>0.26753453463276283</v>
      </c>
      <c r="T227">
        <f t="shared" si="172"/>
        <v>-1.2999629433983462</v>
      </c>
      <c r="U227">
        <f t="shared" si="173"/>
        <v>0.9999404942200657</v>
      </c>
      <c r="V227">
        <f t="shared" si="174"/>
        <v>-1.0909296045113665E-2</v>
      </c>
      <c r="X227">
        <f t="shared" si="192"/>
        <v>-5.5229303880262233</v>
      </c>
      <c r="Y227">
        <f t="shared" si="175"/>
        <v>-87.462923001831967</v>
      </c>
      <c r="Z227">
        <f t="shared" si="193"/>
        <v>92.537076998168033</v>
      </c>
      <c r="AC227">
        <v>1</v>
      </c>
      <c r="AD227">
        <f t="shared" si="176"/>
        <v>28.594399309182005</v>
      </c>
      <c r="AE227">
        <f t="shared" si="177"/>
        <v>-1.7337567257272008E-5</v>
      </c>
      <c r="AF227">
        <f t="shared" si="178"/>
        <v>1.5891840667804501E-3</v>
      </c>
      <c r="AG227">
        <f t="shared" si="194"/>
        <v>17984.126894605895</v>
      </c>
      <c r="AH227">
        <f t="shared" si="195"/>
        <v>-825.45567692239695</v>
      </c>
      <c r="AJ227">
        <f t="shared" si="179"/>
        <v>18000</v>
      </c>
      <c r="AK227">
        <f t="shared" si="180"/>
        <v>64828.523624633999</v>
      </c>
      <c r="AL227">
        <v>1</v>
      </c>
      <c r="AM227">
        <f t="shared" si="181"/>
        <v>39.617431103942998</v>
      </c>
      <c r="AN227">
        <f t="shared" si="196"/>
        <v>1646.7827454189796</v>
      </c>
      <c r="AO227">
        <f t="shared" si="197"/>
        <v>-412.77833516452904</v>
      </c>
      <c r="AQ227">
        <f t="shared" si="182"/>
        <v>0.26845637583892618</v>
      </c>
      <c r="AR227">
        <f t="shared" si="183"/>
        <v>-51.812080536912752</v>
      </c>
      <c r="AT227">
        <f t="shared" si="209"/>
        <v>-37940.622483601801</v>
      </c>
      <c r="AU227">
        <f t="shared" si="210"/>
        <v>-932016.62988882151</v>
      </c>
      <c r="AV227">
        <f t="shared" si="198"/>
        <v>-1.6114819587086122</v>
      </c>
      <c r="AW227">
        <f t="shared" si="199"/>
        <v>21049.109626056579</v>
      </c>
      <c r="AX227">
        <f t="shared" si="200"/>
        <v>-93381.373704644051</v>
      </c>
      <c r="AY227">
        <f t="shared" si="208"/>
        <v>-1.3490915303259858</v>
      </c>
      <c r="BA227">
        <f t="shared" si="184"/>
        <v>9.744530213625417</v>
      </c>
      <c r="BB227">
        <f t="shared" si="201"/>
        <v>19.775218130133574</v>
      </c>
      <c r="BC227">
        <f t="shared" si="202"/>
        <v>-0.26239042838262638</v>
      </c>
      <c r="BD227">
        <f t="shared" si="185"/>
        <v>-195.03386414813286</v>
      </c>
      <c r="BF227">
        <f t="shared" si="186"/>
        <v>-6.2572784845769274</v>
      </c>
      <c r="BG227">
        <f t="shared" si="187"/>
        <v>-113.94049592996984</v>
      </c>
      <c r="BH227">
        <f t="shared" si="203"/>
        <v>66.059504070030158</v>
      </c>
      <c r="BI227">
        <f t="shared" si="204"/>
        <v>66.059504070030158</v>
      </c>
      <c r="BJ227">
        <f t="shared" si="188"/>
        <v>0</v>
      </c>
      <c r="BK227">
        <f t="shared" si="205"/>
        <v>0</v>
      </c>
      <c r="BM227">
        <f t="shared" si="206"/>
        <v>-26.032496614710503</v>
      </c>
      <c r="BN227">
        <f t="shared" si="189"/>
        <v>-98.906631781836992</v>
      </c>
      <c r="BQ227" s="66">
        <f t="shared" si="207"/>
        <v>36.677178930418712</v>
      </c>
      <c r="BR227" s="71"/>
      <c r="BS227" s="71"/>
      <c r="BT227" s="71">
        <v>14791.084000000001</v>
      </c>
      <c r="BU227" s="71">
        <v>-3.9583900000000001</v>
      </c>
      <c r="BV227" s="71">
        <v>-191.02600000000001</v>
      </c>
      <c r="BW227" s="75"/>
      <c r="BY227" s="71"/>
      <c r="BZ227" s="71"/>
      <c r="CA227" s="71"/>
      <c r="CC227" s="71"/>
    </row>
    <row r="228" spans="1:81" x14ac:dyDescent="0.2">
      <c r="A228">
        <f t="shared" si="190"/>
        <v>97000</v>
      </c>
      <c r="B228">
        <f t="shared" si="191"/>
        <v>97</v>
      </c>
      <c r="C228">
        <f t="shared" si="159"/>
        <v>6.1160487818994351</v>
      </c>
      <c r="D228">
        <f t="shared" si="160"/>
        <v>1.406554654911685</v>
      </c>
      <c r="F228">
        <f t="shared" si="161"/>
        <v>5.4138471213857674E-4</v>
      </c>
      <c r="G228">
        <f t="shared" si="162"/>
        <v>9.5775996383007846E-3</v>
      </c>
      <c r="H228">
        <f t="shared" si="163"/>
        <v>-3.1320150503616992</v>
      </c>
      <c r="J228">
        <f t="shared" si="164"/>
        <v>15</v>
      </c>
      <c r="M228">
        <f t="shared" si="165"/>
        <v>3.4778341834534175E-2</v>
      </c>
      <c r="N228">
        <f t="shared" si="166"/>
        <v>-1.5707963250000001</v>
      </c>
      <c r="O228">
        <f t="shared" si="167"/>
        <v>28.759947365527641</v>
      </c>
      <c r="P228">
        <f t="shared" si="168"/>
        <v>1.5360187385106259</v>
      </c>
      <c r="Q228">
        <f t="shared" si="169"/>
        <v>39.8352564410486</v>
      </c>
      <c r="R228">
        <f t="shared" si="170"/>
        <v>1.5456902988893926</v>
      </c>
      <c r="S228">
        <f t="shared" si="171"/>
        <v>0.26625348756438721</v>
      </c>
      <c r="T228">
        <f t="shared" si="172"/>
        <v>-1.3012922084939413</v>
      </c>
      <c r="U228">
        <f t="shared" si="173"/>
        <v>0.99993987603810075</v>
      </c>
      <c r="V228">
        <f t="shared" si="174"/>
        <v>-1.0965816375498382E-2</v>
      </c>
      <c r="X228">
        <f t="shared" si="192"/>
        <v>-5.5659608708375714</v>
      </c>
      <c r="Y228">
        <f t="shared" si="175"/>
        <v>-87.479523300227484</v>
      </c>
      <c r="Z228">
        <f t="shared" si="193"/>
        <v>92.520476699772516</v>
      </c>
      <c r="AC228">
        <v>1</v>
      </c>
      <c r="AD228">
        <f t="shared" si="176"/>
        <v>28.742556818556004</v>
      </c>
      <c r="AE228">
        <f t="shared" si="177"/>
        <v>-1.7517696617216286E-5</v>
      </c>
      <c r="AF228">
        <f t="shared" si="178"/>
        <v>1.5974181811161E-3</v>
      </c>
      <c r="AG228">
        <f t="shared" si="194"/>
        <v>17984.104658363791</v>
      </c>
      <c r="AH228">
        <f t="shared" si="195"/>
        <v>-823.22844755571623</v>
      </c>
      <c r="AJ228">
        <f t="shared" si="179"/>
        <v>18000</v>
      </c>
      <c r="AK228">
        <f t="shared" si="180"/>
        <v>65164.422710771993</v>
      </c>
      <c r="AL228">
        <v>1</v>
      </c>
      <c r="AM228">
        <f t="shared" si="181"/>
        <v>39.822702767693997</v>
      </c>
      <c r="AN228">
        <f t="shared" si="196"/>
        <v>1646.6756762778707</v>
      </c>
      <c r="AO228">
        <f t="shared" si="197"/>
        <v>-410.65330043315635</v>
      </c>
      <c r="AQ228">
        <f t="shared" si="182"/>
        <v>0.26569599064750116</v>
      </c>
      <c r="AR228">
        <f t="shared" si="183"/>
        <v>-51.545022185615217</v>
      </c>
      <c r="AT228">
        <f t="shared" si="209"/>
        <v>-37655.024089976665</v>
      </c>
      <c r="AU228">
        <f t="shared" si="210"/>
        <v>-927209.80210169009</v>
      </c>
      <c r="AV228">
        <f t="shared" si="198"/>
        <v>-1.6113851379321251</v>
      </c>
      <c r="AW228">
        <f t="shared" si="199"/>
        <v>21264.716730885884</v>
      </c>
      <c r="AX228">
        <f t="shared" si="200"/>
        <v>-92897.941903391344</v>
      </c>
      <c r="AY228">
        <f t="shared" si="208"/>
        <v>-1.3457690584615227</v>
      </c>
      <c r="BA228">
        <f t="shared" si="184"/>
        <v>9.7373312400755232</v>
      </c>
      <c r="BB228">
        <f t="shared" si="201"/>
        <v>19.768798877768351</v>
      </c>
      <c r="BC228">
        <f t="shared" si="202"/>
        <v>-0.2656160794706024</v>
      </c>
      <c r="BD228">
        <f t="shared" si="185"/>
        <v>-195.21868034186687</v>
      </c>
      <c r="BF228">
        <f t="shared" si="186"/>
        <v>-6.3098373708103743</v>
      </c>
      <c r="BG228">
        <f t="shared" si="187"/>
        <v>-114.08027883109256</v>
      </c>
      <c r="BH228">
        <f t="shared" si="203"/>
        <v>65.919721168907444</v>
      </c>
      <c r="BI228">
        <f t="shared" si="204"/>
        <v>65.919721168907444</v>
      </c>
      <c r="BJ228">
        <f t="shared" si="188"/>
        <v>0</v>
      </c>
      <c r="BK228">
        <f t="shared" si="205"/>
        <v>0</v>
      </c>
      <c r="BM228">
        <f t="shared" si="206"/>
        <v>-26.078636248578725</v>
      </c>
      <c r="BN228">
        <f t="shared" si="189"/>
        <v>-98.861598489225699</v>
      </c>
      <c r="BQ228" s="66">
        <f t="shared" si="207"/>
        <v>36.670759678053486</v>
      </c>
      <c r="BR228" s="71"/>
      <c r="BS228" s="71"/>
      <c r="BT228" s="71">
        <v>15135.611999999999</v>
      </c>
      <c r="BU228" s="71">
        <v>-3.8792200000000001</v>
      </c>
      <c r="BV228" s="71">
        <v>-189.453</v>
      </c>
      <c r="BW228" s="75"/>
      <c r="BY228" s="71"/>
      <c r="BZ228" s="71"/>
      <c r="CA228" s="71"/>
      <c r="CC228" s="71"/>
    </row>
    <row r="229" spans="1:81" x14ac:dyDescent="0.2">
      <c r="A229">
        <f t="shared" si="190"/>
        <v>97500</v>
      </c>
      <c r="B229">
        <f t="shared" si="191"/>
        <v>97.5</v>
      </c>
      <c r="C229">
        <f t="shared" si="159"/>
        <v>6.1467341046650992</v>
      </c>
      <c r="D229">
        <f t="shared" si="160"/>
        <v>1.4073819677214374</v>
      </c>
      <c r="F229">
        <f t="shared" si="161"/>
        <v>5.3584354469204606E-4</v>
      </c>
      <c r="G229">
        <f t="shared" si="162"/>
        <v>9.5284335042327712E-3</v>
      </c>
      <c r="H229">
        <f t="shared" si="163"/>
        <v>-3.1320642164957673</v>
      </c>
      <c r="J229">
        <f t="shared" si="164"/>
        <v>15</v>
      </c>
      <c r="M229">
        <f t="shared" si="165"/>
        <v>3.4599991363587851E-2</v>
      </c>
      <c r="N229">
        <f t="shared" si="166"/>
        <v>-1.5707963250000001</v>
      </c>
      <c r="O229">
        <f t="shared" si="167"/>
        <v>28.908015746122388</v>
      </c>
      <c r="P229">
        <f t="shared" si="168"/>
        <v>1.5361969424504527</v>
      </c>
      <c r="Q229">
        <f t="shared" si="169"/>
        <v>40.040463747119801</v>
      </c>
      <c r="R229">
        <f t="shared" si="170"/>
        <v>1.5458189940711029</v>
      </c>
      <c r="S229">
        <f t="shared" si="171"/>
        <v>0.26498418867711854</v>
      </c>
      <c r="T229">
        <f t="shared" si="172"/>
        <v>-1.3026088019999285</v>
      </c>
      <c r="U229">
        <f t="shared" si="173"/>
        <v>0.99993925466255262</v>
      </c>
      <c r="V229">
        <f t="shared" si="174"/>
        <v>-1.102233663581873E-2</v>
      </c>
      <c r="X229">
        <f t="shared" si="192"/>
        <v>-5.6087872103504379</v>
      </c>
      <c r="Y229">
        <f t="shared" si="175"/>
        <v>-87.496028379087861</v>
      </c>
      <c r="Z229">
        <f t="shared" si="193"/>
        <v>92.503971620912139</v>
      </c>
      <c r="AC229">
        <v>1</v>
      </c>
      <c r="AD229">
        <f t="shared" si="176"/>
        <v>28.890714327930006</v>
      </c>
      <c r="AE229">
        <f t="shared" si="177"/>
        <v>-1.7698756878245542E-5</v>
      </c>
      <c r="AF229">
        <f t="shared" si="178"/>
        <v>1.6056522954517503E-3</v>
      </c>
      <c r="AG229">
        <f t="shared" si="194"/>
        <v>17984.082307261106</v>
      </c>
      <c r="AH229">
        <f t="shared" si="195"/>
        <v>-821.03448185440971</v>
      </c>
      <c r="AJ229">
        <f t="shared" si="179"/>
        <v>18000</v>
      </c>
      <c r="AK229">
        <f t="shared" si="180"/>
        <v>65500.321796910001</v>
      </c>
      <c r="AL229">
        <v>1</v>
      </c>
      <c r="AM229">
        <f t="shared" si="181"/>
        <v>40.027974431445003</v>
      </c>
      <c r="AN229">
        <f t="shared" si="196"/>
        <v>1646.5702487571182</v>
      </c>
      <c r="AO229">
        <f t="shared" si="197"/>
        <v>-408.55001991797081</v>
      </c>
      <c r="AQ229">
        <f t="shared" si="182"/>
        <v>0.26297796244674698</v>
      </c>
      <c r="AR229">
        <f t="shared" si="183"/>
        <v>-51.280702677115656</v>
      </c>
      <c r="AT229">
        <f t="shared" si="209"/>
        <v>-37373.807829997575</v>
      </c>
      <c r="AU229">
        <f t="shared" si="210"/>
        <v>-922452.29169456952</v>
      </c>
      <c r="AV229">
        <f t="shared" si="198"/>
        <v>-1.6112898876009247</v>
      </c>
      <c r="AW229">
        <f t="shared" si="199"/>
        <v>21477.017802462055</v>
      </c>
      <c r="AX229">
        <f t="shared" si="200"/>
        <v>-92419.593065294903</v>
      </c>
      <c r="AY229">
        <f t="shared" si="208"/>
        <v>-1.3424630190227966</v>
      </c>
      <c r="BA229">
        <f t="shared" si="184"/>
        <v>9.73004946816563</v>
      </c>
      <c r="BB229">
        <f t="shared" si="201"/>
        <v>19.76230096507259</v>
      </c>
      <c r="BC229">
        <f t="shared" si="202"/>
        <v>-0.2688268685781281</v>
      </c>
      <c r="BD229">
        <f t="shared" si="185"/>
        <v>-195.40264500684486</v>
      </c>
      <c r="BF229">
        <f t="shared" si="186"/>
        <v>-6.3622252546822686</v>
      </c>
      <c r="BG229">
        <f t="shared" si="187"/>
        <v>-114.21965897566076</v>
      </c>
      <c r="BH229">
        <f t="shared" si="203"/>
        <v>65.780341024339236</v>
      </c>
      <c r="BI229">
        <f t="shared" si="204"/>
        <v>65.780341024339236</v>
      </c>
      <c r="BJ229">
        <f t="shared" si="188"/>
        <v>0</v>
      </c>
      <c r="BK229">
        <f t="shared" si="205"/>
        <v>0</v>
      </c>
      <c r="BM229">
        <f t="shared" si="206"/>
        <v>-26.124526219754859</v>
      </c>
      <c r="BN229">
        <f t="shared" si="189"/>
        <v>-98.8170139688159</v>
      </c>
      <c r="BQ229" s="66">
        <f t="shared" si="207"/>
        <v>36.664261765357729</v>
      </c>
      <c r="BR229" s="71"/>
      <c r="BS229" s="71"/>
      <c r="BT229" s="71">
        <v>15488.165999999999</v>
      </c>
      <c r="BU229" s="71">
        <v>-3.9822899999999999</v>
      </c>
      <c r="BV229" s="71">
        <v>-188.48099999999999</v>
      </c>
      <c r="BW229" s="75"/>
      <c r="BY229" s="71"/>
      <c r="BZ229" s="71"/>
      <c r="CA229" s="71"/>
      <c r="CC229" s="71"/>
    </row>
    <row r="230" spans="1:81" x14ac:dyDescent="0.2">
      <c r="A230">
        <f t="shared" si="190"/>
        <v>98000</v>
      </c>
      <c r="B230">
        <f t="shared" si="191"/>
        <v>98</v>
      </c>
      <c r="C230">
        <f t="shared" si="159"/>
        <v>6.1774235927434056</v>
      </c>
      <c r="D230">
        <f t="shared" si="160"/>
        <v>1.4082010608943369</v>
      </c>
      <c r="F230">
        <f t="shared" si="161"/>
        <v>5.3038702988723809E-4</v>
      </c>
      <c r="G230">
        <f t="shared" si="162"/>
        <v>9.4797698289743586E-3</v>
      </c>
      <c r="H230">
        <f t="shared" si="163"/>
        <v>-3.1321128801710261</v>
      </c>
      <c r="J230">
        <f t="shared" si="164"/>
        <v>15</v>
      </c>
      <c r="M230">
        <f t="shared" si="165"/>
        <v>3.4423460795406279E-2</v>
      </c>
      <c r="N230">
        <f t="shared" si="166"/>
        <v>-1.5707963250000001</v>
      </c>
      <c r="O230">
        <f t="shared" si="167"/>
        <v>29.056085035382306</v>
      </c>
      <c r="P230">
        <f t="shared" si="168"/>
        <v>1.5363733301476581</v>
      </c>
      <c r="Q230">
        <f t="shared" si="169"/>
        <v>40.245671709596351</v>
      </c>
      <c r="R230">
        <f t="shared" si="170"/>
        <v>1.5459463768516133</v>
      </c>
      <c r="S230">
        <f t="shared" si="171"/>
        <v>0.26372648385687342</v>
      </c>
      <c r="T230">
        <f t="shared" si="172"/>
        <v>-1.3039128997500988</v>
      </c>
      <c r="U230">
        <f t="shared" si="173"/>
        <v>0.99993863009343886</v>
      </c>
      <c r="V230">
        <f t="shared" si="174"/>
        <v>-1.1078856825713725E-2</v>
      </c>
      <c r="X230">
        <f t="shared" si="192"/>
        <v>-5.6514112725245695</v>
      </c>
      <c r="Y230">
        <f t="shared" si="175"/>
        <v>-87.51243891966115</v>
      </c>
      <c r="Z230">
        <f t="shared" si="193"/>
        <v>92.48756108033885</v>
      </c>
      <c r="AC230">
        <v>1</v>
      </c>
      <c r="AD230">
        <f t="shared" si="176"/>
        <v>29.038871837304004</v>
      </c>
      <c r="AE230">
        <f t="shared" si="177"/>
        <v>-1.7880748040359783E-5</v>
      </c>
      <c r="AF230">
        <f t="shared" si="178"/>
        <v>1.6138864097874001E-3</v>
      </c>
      <c r="AG230">
        <f t="shared" si="194"/>
        <v>17984.059841298731</v>
      </c>
      <c r="AH230">
        <f t="shared" si="195"/>
        <v>-818.87327060341727</v>
      </c>
      <c r="AJ230">
        <f t="shared" si="179"/>
        <v>18000</v>
      </c>
      <c r="AK230">
        <f t="shared" si="180"/>
        <v>65836.220883047994</v>
      </c>
      <c r="AL230">
        <v>1</v>
      </c>
      <c r="AM230">
        <f t="shared" si="181"/>
        <v>40.233246095195994</v>
      </c>
      <c r="AN230">
        <f t="shared" si="196"/>
        <v>1646.4664294744446</v>
      </c>
      <c r="AO230">
        <f t="shared" si="197"/>
        <v>-406.46816147599463</v>
      </c>
      <c r="AQ230">
        <f t="shared" si="182"/>
        <v>0.26030142905484549</v>
      </c>
      <c r="AR230">
        <f t="shared" si="183"/>
        <v>-51.019080094749718</v>
      </c>
      <c r="AT230">
        <f t="shared" si="209"/>
        <v>-37096.884503467489</v>
      </c>
      <c r="AU230">
        <f t="shared" si="210"/>
        <v>-917743.34335454472</v>
      </c>
      <c r="AV230">
        <f t="shared" si="198"/>
        <v>-1.6111961837209337</v>
      </c>
      <c r="AW230">
        <f t="shared" si="199"/>
        <v>21686.080044593466</v>
      </c>
      <c r="AX230">
        <f t="shared" si="200"/>
        <v>-91946.247340835165</v>
      </c>
      <c r="AY230">
        <f t="shared" si="208"/>
        <v>-1.3391732586654121</v>
      </c>
      <c r="BA230">
        <f t="shared" si="184"/>
        <v>9.7226864354450075</v>
      </c>
      <c r="BB230">
        <f t="shared" si="201"/>
        <v>19.755725592540529</v>
      </c>
      <c r="BC230">
        <f t="shared" si="202"/>
        <v>-0.2720229250555215</v>
      </c>
      <c r="BD230">
        <f t="shared" si="185"/>
        <v>-195.5857655542942</v>
      </c>
      <c r="BF230">
        <f t="shared" si="186"/>
        <v>-6.4144436728238414</v>
      </c>
      <c r="BG230">
        <f t="shared" si="187"/>
        <v>-114.35863716443247</v>
      </c>
      <c r="BH230">
        <f t="shared" si="203"/>
        <v>65.641362835567534</v>
      </c>
      <c r="BI230">
        <f t="shared" si="204"/>
        <v>65.641362835567534</v>
      </c>
      <c r="BJ230">
        <f t="shared" si="188"/>
        <v>0</v>
      </c>
      <c r="BK230">
        <f t="shared" si="205"/>
        <v>0</v>
      </c>
      <c r="BM230">
        <f t="shared" si="206"/>
        <v>-26.170169265364368</v>
      </c>
      <c r="BN230">
        <f t="shared" si="189"/>
        <v>-98.772871610138253</v>
      </c>
      <c r="BQ230" s="66">
        <f t="shared" si="207"/>
        <v>36.657686392825667</v>
      </c>
      <c r="BR230" s="71"/>
      <c r="BS230" s="71"/>
      <c r="BT230" s="71">
        <v>15848.932000000001</v>
      </c>
      <c r="BU230" s="71">
        <v>-3.9450400000000001</v>
      </c>
      <c r="BV230" s="71">
        <v>-186.14400000000001</v>
      </c>
      <c r="BW230" s="75"/>
      <c r="BY230" s="71"/>
      <c r="BZ230" s="71"/>
      <c r="CA230" s="71"/>
      <c r="CC230" s="71"/>
    </row>
    <row r="231" spans="1:81" x14ac:dyDescent="0.2">
      <c r="A231">
        <f t="shared" si="190"/>
        <v>98500</v>
      </c>
      <c r="B231">
        <f t="shared" si="191"/>
        <v>98.5</v>
      </c>
      <c r="C231">
        <f t="shared" si="159"/>
        <v>6.2081171843613676</v>
      </c>
      <c r="D231">
        <f t="shared" si="160"/>
        <v>1.4090120552393479</v>
      </c>
      <c r="F231">
        <f t="shared" si="161"/>
        <v>5.2501345186613832E-4</v>
      </c>
      <c r="G231">
        <f t="shared" si="162"/>
        <v>9.4316009454705248E-3</v>
      </c>
      <c r="H231">
        <f t="shared" si="163"/>
        <v>-3.1321610490545297</v>
      </c>
      <c r="J231">
        <f t="shared" si="164"/>
        <v>15</v>
      </c>
      <c r="M231">
        <f t="shared" si="165"/>
        <v>3.4248722415734165E-2</v>
      </c>
      <c r="N231">
        <f t="shared" si="166"/>
        <v>-1.5707963250000001</v>
      </c>
      <c r="O231">
        <f t="shared" si="167"/>
        <v>29.204155219486196</v>
      </c>
      <c r="P231">
        <f t="shared" si="168"/>
        <v>1.5365479292171871</v>
      </c>
      <c r="Q231">
        <f t="shared" si="169"/>
        <v>40.450880318488394</v>
      </c>
      <c r="R231">
        <f t="shared" si="170"/>
        <v>1.5460724672003177</v>
      </c>
      <c r="S231">
        <f t="shared" si="171"/>
        <v>0.26248022153919454</v>
      </c>
      <c r="T231">
        <f t="shared" si="172"/>
        <v>-1.3052046744263817</v>
      </c>
      <c r="U231">
        <f t="shared" si="173"/>
        <v>0.99993800233077745</v>
      </c>
      <c r="V231">
        <f t="shared" si="174"/>
        <v>-1.1135376944822393E-2</v>
      </c>
      <c r="X231">
        <f t="shared" si="192"/>
        <v>-5.6938348984967702</v>
      </c>
      <c r="Y231">
        <f t="shared" si="175"/>
        <v>-87.528755606936699</v>
      </c>
      <c r="Z231">
        <f t="shared" si="193"/>
        <v>92.471244393063301</v>
      </c>
      <c r="AC231">
        <v>1</v>
      </c>
      <c r="AD231">
        <f t="shared" si="176"/>
        <v>29.187029346678003</v>
      </c>
      <c r="AE231">
        <f t="shared" si="177"/>
        <v>-1.806367010355901E-5</v>
      </c>
      <c r="AF231">
        <f t="shared" si="178"/>
        <v>1.62212052412305E-3</v>
      </c>
      <c r="AG231">
        <f t="shared" si="194"/>
        <v>17984.037260477497</v>
      </c>
      <c r="AH231">
        <f t="shared" si="195"/>
        <v>-816.74431492667452</v>
      </c>
      <c r="AJ231">
        <f t="shared" si="179"/>
        <v>18000</v>
      </c>
      <c r="AK231">
        <f t="shared" si="180"/>
        <v>66172.119969185995</v>
      </c>
      <c r="AL231">
        <v>1</v>
      </c>
      <c r="AM231">
        <f t="shared" si="181"/>
        <v>40.438517758947</v>
      </c>
      <c r="AN231">
        <f t="shared" si="196"/>
        <v>1646.3641858916394</v>
      </c>
      <c r="AO231">
        <f t="shared" si="197"/>
        <v>-404.40739968739649</v>
      </c>
      <c r="AQ231">
        <f t="shared" si="182"/>
        <v>0.25766555011594949</v>
      </c>
      <c r="AR231">
        <f t="shared" si="183"/>
        <v>-50.760113372842049</v>
      </c>
      <c r="AT231">
        <f t="shared" si="209"/>
        <v>-36824.16716827554</v>
      </c>
      <c r="AU231">
        <f t="shared" si="210"/>
        <v>-913082.21711646311</v>
      </c>
      <c r="AV231">
        <f t="shared" si="198"/>
        <v>-1.6111040027841299</v>
      </c>
      <c r="AW231">
        <f t="shared" si="199"/>
        <v>21891.968962416951</v>
      </c>
      <c r="AX231">
        <f t="shared" si="200"/>
        <v>-91477.826553341714</v>
      </c>
      <c r="AY231">
        <f t="shared" si="208"/>
        <v>-1.3358996265500789</v>
      </c>
      <c r="BA231">
        <f t="shared" si="184"/>
        <v>9.7152436517201792</v>
      </c>
      <c r="BB231">
        <f t="shared" si="201"/>
        <v>19.749073937667472</v>
      </c>
      <c r="BC231">
        <f t="shared" si="202"/>
        <v>-0.27520437623405103</v>
      </c>
      <c r="BD231">
        <f t="shared" si="185"/>
        <v>-195.76804927975917</v>
      </c>
      <c r="BF231">
        <f t="shared" si="186"/>
        <v>-6.4664941395353859</v>
      </c>
      <c r="BG231">
        <f t="shared" si="187"/>
        <v>-114.49721421039798</v>
      </c>
      <c r="BH231">
        <f t="shared" si="203"/>
        <v>65.502785789602015</v>
      </c>
      <c r="BI231">
        <f t="shared" si="204"/>
        <v>65.502785789602015</v>
      </c>
      <c r="BJ231">
        <f t="shared" si="188"/>
        <v>0</v>
      </c>
      <c r="BK231">
        <f t="shared" si="205"/>
        <v>0</v>
      </c>
      <c r="BM231">
        <f t="shared" si="206"/>
        <v>-26.215568077202857</v>
      </c>
      <c r="BN231">
        <f t="shared" si="189"/>
        <v>-98.729164930638845</v>
      </c>
      <c r="BQ231" s="66">
        <f t="shared" si="207"/>
        <v>36.651034737952607</v>
      </c>
      <c r="BR231" s="71"/>
      <c r="BS231" s="71"/>
      <c r="BT231" s="71">
        <v>16218.101000000001</v>
      </c>
      <c r="BU231" s="71">
        <v>-3.9639700000000002</v>
      </c>
      <c r="BV231" s="71">
        <v>-185.626</v>
      </c>
      <c r="BW231" s="75"/>
      <c r="BY231" s="71"/>
      <c r="BZ231" s="71"/>
      <c r="CA231" s="71"/>
      <c r="CC231" s="71"/>
    </row>
    <row r="232" spans="1:81" x14ac:dyDescent="0.2">
      <c r="A232">
        <f t="shared" si="190"/>
        <v>99000</v>
      </c>
      <c r="B232">
        <f t="shared" si="191"/>
        <v>99</v>
      </c>
      <c r="C232">
        <f t="shared" si="159"/>
        <v>6.2388148189534567</v>
      </c>
      <c r="D232">
        <f t="shared" si="160"/>
        <v>1.4098150692307998</v>
      </c>
      <c r="F232">
        <f t="shared" si="161"/>
        <v>5.1972113803258331E-4</v>
      </c>
      <c r="G232">
        <f t="shared" si="162"/>
        <v>9.3839193419424944E-3</v>
      </c>
      <c r="H232">
        <f t="shared" si="163"/>
        <v>-3.1322087306580575</v>
      </c>
      <c r="J232">
        <f t="shared" si="164"/>
        <v>15</v>
      </c>
      <c r="M232">
        <f t="shared" si="165"/>
        <v>3.4075749070200154E-2</v>
      </c>
      <c r="N232">
        <f t="shared" si="166"/>
        <v>-1.5707963250000001</v>
      </c>
      <c r="O232">
        <f t="shared" si="167"/>
        <v>29.352226284891685</v>
      </c>
      <c r="P232">
        <f t="shared" si="168"/>
        <v>1.5367207667171976</v>
      </c>
      <c r="Q232">
        <f t="shared" si="169"/>
        <v>40.656089564007722</v>
      </c>
      <c r="R232">
        <f t="shared" si="170"/>
        <v>1.5461972846835987</v>
      </c>
      <c r="S232">
        <f t="shared" si="171"/>
        <v>0.26124525266015136</v>
      </c>
      <c r="T232">
        <f t="shared" si="172"/>
        <v>-1.3064842956270759</v>
      </c>
      <c r="U232">
        <f t="shared" si="173"/>
        <v>0.9999373713745866</v>
      </c>
      <c r="V232">
        <f t="shared" si="174"/>
        <v>-1.1191896992783753E-2</v>
      </c>
      <c r="X232">
        <f t="shared" si="192"/>
        <v>-5.7360599050138443</v>
      </c>
      <c r="Y232">
        <f t="shared" si="175"/>
        <v>-87.544979129085306</v>
      </c>
      <c r="Z232">
        <f t="shared" si="193"/>
        <v>92.455020870914694</v>
      </c>
      <c r="AC232">
        <v>1</v>
      </c>
      <c r="AD232">
        <f t="shared" si="176"/>
        <v>29.335186856052005</v>
      </c>
      <c r="AE232">
        <f t="shared" si="177"/>
        <v>-1.8247523067843216E-5</v>
      </c>
      <c r="AF232">
        <f t="shared" si="178"/>
        <v>1.6303546384587003E-3</v>
      </c>
      <c r="AG232">
        <f t="shared" si="194"/>
        <v>17984.014564798275</v>
      </c>
      <c r="AH232">
        <f t="shared" si="195"/>
        <v>-814.64712602602856</v>
      </c>
      <c r="AJ232">
        <f t="shared" si="179"/>
        <v>18000</v>
      </c>
      <c r="AK232">
        <f t="shared" si="180"/>
        <v>66508.019055323995</v>
      </c>
      <c r="AL232">
        <v>1</v>
      </c>
      <c r="AM232">
        <f t="shared" si="181"/>
        <v>40.643789422697999</v>
      </c>
      <c r="AN232">
        <f t="shared" si="196"/>
        <v>1646.2634862890873</v>
      </c>
      <c r="AO232">
        <f t="shared" si="197"/>
        <v>-402.36741568634295</v>
      </c>
      <c r="AQ232">
        <f t="shared" si="182"/>
        <v>0.25506950644050502</v>
      </c>
      <c r="AR232">
        <f t="shared" si="183"/>
        <v>-50.503762275219998</v>
      </c>
      <c r="AT232">
        <f t="shared" si="209"/>
        <v>-36555.571072147781</v>
      </c>
      <c r="AU232">
        <f t="shared" si="210"/>
        <v>-908468.1879750248</v>
      </c>
      <c r="AV232">
        <f t="shared" si="198"/>
        <v>-1.6110133217563067</v>
      </c>
      <c r="AW232">
        <f t="shared" si="199"/>
        <v>22094.748413649177</v>
      </c>
      <c r="AX232">
        <f t="shared" si="200"/>
        <v>-91014.254155202274</v>
      </c>
      <c r="AY232">
        <f t="shared" si="208"/>
        <v>-1.3326419742888802</v>
      </c>
      <c r="BA232">
        <f t="shared" si="184"/>
        <v>9.7077225997093617</v>
      </c>
      <c r="BB232">
        <f t="shared" si="201"/>
        <v>19.74234715555319</v>
      </c>
      <c r="BC232">
        <f t="shared" si="202"/>
        <v>-0.27837134746742653</v>
      </c>
      <c r="BD232">
        <f t="shared" si="185"/>
        <v>-195.94950336547825</v>
      </c>
      <c r="BF232">
        <f t="shared" si="186"/>
        <v>-6.5183781471854143</v>
      </c>
      <c r="BG232">
        <f t="shared" si="187"/>
        <v>-114.63539093811005</v>
      </c>
      <c r="BH232">
        <f t="shared" si="203"/>
        <v>65.364609061889951</v>
      </c>
      <c r="BI232">
        <f t="shared" si="204"/>
        <v>65.364609061889951</v>
      </c>
      <c r="BJ232">
        <f t="shared" si="188"/>
        <v>0</v>
      </c>
      <c r="BK232">
        <f t="shared" si="205"/>
        <v>0</v>
      </c>
      <c r="BM232">
        <f t="shared" si="206"/>
        <v>-26.260725302738599</v>
      </c>
      <c r="BN232">
        <f t="shared" si="189"/>
        <v>-98.685887572631785</v>
      </c>
      <c r="BQ232" s="66">
        <f t="shared" si="207"/>
        <v>36.644307955838322</v>
      </c>
      <c r="BR232" s="71"/>
      <c r="BS232" s="71"/>
      <c r="BT232" s="71">
        <v>16595.868999999999</v>
      </c>
      <c r="BU232" s="71">
        <v>-3.91065</v>
      </c>
      <c r="BV232" s="71">
        <v>-184.43100000000001</v>
      </c>
      <c r="BW232" s="75"/>
      <c r="BY232" s="71"/>
      <c r="BZ232" s="71"/>
      <c r="CA232" s="71"/>
      <c r="CC232" s="71"/>
    </row>
    <row r="233" spans="1:81" x14ac:dyDescent="0.2">
      <c r="A233">
        <f t="shared" si="190"/>
        <v>99500</v>
      </c>
      <c r="B233">
        <f t="shared" si="191"/>
        <v>99.5</v>
      </c>
      <c r="C233">
        <f t="shared" si="159"/>
        <v>6.2695164371324434</v>
      </c>
      <c r="D233">
        <f t="shared" si="160"/>
        <v>1.4106102190639904</v>
      </c>
      <c r="F233">
        <f t="shared" si="161"/>
        <v>5.1450845774971444E-4</v>
      </c>
      <c r="G233">
        <f t="shared" si="162"/>
        <v>9.3367176579747732E-3</v>
      </c>
      <c r="H233">
        <f t="shared" si="163"/>
        <v>-3.1322559323420256</v>
      </c>
      <c r="J233">
        <f t="shared" si="164"/>
        <v>15</v>
      </c>
      <c r="M233">
        <f t="shared" si="165"/>
        <v>3.39045141502494E-2</v>
      </c>
      <c r="N233">
        <f t="shared" si="166"/>
        <v>-1.5707963250000001</v>
      </c>
      <c r="O233">
        <f t="shared" si="167"/>
        <v>29.50029821832819</v>
      </c>
      <c r="P233">
        <f t="shared" si="168"/>
        <v>1.5368918691630165</v>
      </c>
      <c r="Q233">
        <f t="shared" si="169"/>
        <v>40.861299436562739</v>
      </c>
      <c r="R233">
        <f t="shared" si="170"/>
        <v>1.546320848474942</v>
      </c>
      <c r="S233">
        <f t="shared" si="171"/>
        <v>0.26002143060826344</v>
      </c>
      <c r="T233">
        <f t="shared" si="172"/>
        <v>-1.3077519299333744</v>
      </c>
      <c r="U233">
        <f t="shared" si="173"/>
        <v>0.99993673722488419</v>
      </c>
      <c r="V233">
        <f t="shared" si="174"/>
        <v>-1.1248416969236834E-2</v>
      </c>
      <c r="X233">
        <f t="shared" si="192"/>
        <v>-5.7780880848560514</v>
      </c>
      <c r="Y233">
        <f t="shared" si="175"/>
        <v>-87.5611101769301</v>
      </c>
      <c r="Z233">
        <f t="shared" si="193"/>
        <v>92.4388898230699</v>
      </c>
      <c r="AC233">
        <v>1</v>
      </c>
      <c r="AD233">
        <f t="shared" si="176"/>
        <v>29.483344365426003</v>
      </c>
      <c r="AE233">
        <f t="shared" si="177"/>
        <v>-1.8432306933212406E-5</v>
      </c>
      <c r="AF233">
        <f t="shared" si="178"/>
        <v>1.6385887527943501E-3</v>
      </c>
      <c r="AG233">
        <f t="shared" si="194"/>
        <v>17983.991754261948</v>
      </c>
      <c r="AH233">
        <f t="shared" si="195"/>
        <v>-812.58122492802477</v>
      </c>
      <c r="AJ233">
        <f t="shared" si="179"/>
        <v>18000</v>
      </c>
      <c r="AK233">
        <f t="shared" si="180"/>
        <v>66843.918141461996</v>
      </c>
      <c r="AL233">
        <v>1</v>
      </c>
      <c r="AM233">
        <f t="shared" si="181"/>
        <v>40.849061086448998</v>
      </c>
      <c r="AN233">
        <f t="shared" si="196"/>
        <v>1646.164299741178</v>
      </c>
      <c r="AO233">
        <f t="shared" si="197"/>
        <v>-400.34789699692601</v>
      </c>
      <c r="AQ233">
        <f t="shared" si="182"/>
        <v>0.25251249936871878</v>
      </c>
      <c r="AR233">
        <f t="shared" si="183"/>
        <v>-50.249987374375031</v>
      </c>
      <c r="AT233">
        <f t="shared" si="209"/>
        <v>-36291.013586792331</v>
      </c>
      <c r="AU233">
        <f t="shared" si="210"/>
        <v>-903900.54550857423</v>
      </c>
      <c r="AV233">
        <f t="shared" si="198"/>
        <v>-1.610924118065201</v>
      </c>
      <c r="AW233">
        <f t="shared" si="199"/>
        <v>22294.480658043143</v>
      </c>
      <c r="AX233">
        <f t="shared" si="200"/>
        <v>-90555.455185445302</v>
      </c>
      <c r="AY233">
        <f t="shared" si="208"/>
        <v>-1.3294001558928186</v>
      </c>
      <c r="BA233">
        <f t="shared" si="184"/>
        <v>9.700124735677722</v>
      </c>
      <c r="BB233">
        <f t="shared" si="201"/>
        <v>19.735546379486188</v>
      </c>
      <c r="BC233">
        <f t="shared" si="202"/>
        <v>-0.2815239621723824</v>
      </c>
      <c r="BD233">
        <f t="shared" si="185"/>
        <v>-196.13013488270951</v>
      </c>
      <c r="BF233">
        <f t="shared" si="186"/>
        <v>-6.5700971666013155</v>
      </c>
      <c r="BG233">
        <f t="shared" si="187"/>
        <v>-114.77316818304726</v>
      </c>
      <c r="BH233">
        <f t="shared" si="203"/>
        <v>65.226831816952739</v>
      </c>
      <c r="BI233">
        <f t="shared" si="204"/>
        <v>65.226831816952739</v>
      </c>
      <c r="BJ233">
        <f t="shared" si="188"/>
        <v>0</v>
      </c>
      <c r="BK233">
        <f t="shared" si="205"/>
        <v>0</v>
      </c>
      <c r="BM233">
        <f t="shared" si="206"/>
        <v>-26.305643546087502</v>
      </c>
      <c r="BN233">
        <f t="shared" si="189"/>
        <v>-98.643033300337734</v>
      </c>
      <c r="BQ233" s="66">
        <f t="shared" si="207"/>
        <v>36.637507179771319</v>
      </c>
      <c r="BR233" s="71"/>
      <c r="BS233" s="71"/>
      <c r="BT233" s="71">
        <v>16982.437000000002</v>
      </c>
      <c r="BU233" s="71">
        <v>-3.9488799999999999</v>
      </c>
      <c r="BV233" s="71">
        <v>-182.72200000000001</v>
      </c>
      <c r="BW233" s="75"/>
      <c r="BY233" s="71"/>
      <c r="BZ233" s="71"/>
      <c r="CA233" s="71"/>
      <c r="CC233" s="71"/>
    </row>
    <row r="234" spans="1:81" x14ac:dyDescent="0.2">
      <c r="A234">
        <f t="shared" si="190"/>
        <v>100000</v>
      </c>
      <c r="B234">
        <f t="shared" si="191"/>
        <v>100</v>
      </c>
      <c r="C234">
        <f t="shared" si="159"/>
        <v>6.3002219806610622</v>
      </c>
      <c r="D234">
        <f t="shared" si="160"/>
        <v>1.411397618709223</v>
      </c>
      <c r="F234">
        <f t="shared" si="161"/>
        <v>5.0937382108296565E-4</v>
      </c>
      <c r="G234">
        <f t="shared" si="162"/>
        <v>9.2899886807199482E-3</v>
      </c>
      <c r="H234">
        <f t="shared" si="163"/>
        <v>-3.1323026613192804</v>
      </c>
      <c r="J234">
        <f t="shared" si="164"/>
        <v>15</v>
      </c>
      <c r="M234">
        <f t="shared" si="165"/>
        <v>3.373499157949815E-2</v>
      </c>
      <c r="N234">
        <f t="shared" si="166"/>
        <v>-1.5707963250000001</v>
      </c>
      <c r="O234">
        <f t="shared" si="167"/>
        <v>29.648371006790175</v>
      </c>
      <c r="P234">
        <f t="shared" si="168"/>
        <v>1.537061262540681</v>
      </c>
      <c r="Q234">
        <f t="shared" si="169"/>
        <v>41.066509926753511</v>
      </c>
      <c r="R234">
        <f t="shared" si="170"/>
        <v>1.546443177364746</v>
      </c>
      <c r="S234">
        <f t="shared" si="171"/>
        <v>0.25880861117742626</v>
      </c>
      <c r="T234">
        <f t="shared" si="172"/>
        <v>-1.3090077409742333</v>
      </c>
      <c r="U234">
        <f t="shared" si="173"/>
        <v>0.99993609988168852</v>
      </c>
      <c r="V234">
        <f t="shared" si="174"/>
        <v>-1.1304936873820667E-2</v>
      </c>
      <c r="X234">
        <f t="shared" si="192"/>
        <v>-5.8199212072513218</v>
      </c>
      <c r="Y234">
        <f t="shared" si="175"/>
        <v>-87.57714944344653</v>
      </c>
      <c r="Z234">
        <f t="shared" si="193"/>
        <v>92.42285055655347</v>
      </c>
      <c r="AC234">
        <v>1</v>
      </c>
      <c r="AD234">
        <f t="shared" si="176"/>
        <v>29.631501874800001</v>
      </c>
      <c r="AE234">
        <f t="shared" si="177"/>
        <v>-1.8618021699666583E-5</v>
      </c>
      <c r="AF234">
        <f t="shared" si="178"/>
        <v>1.64682286713E-3</v>
      </c>
      <c r="AG234">
        <f t="shared" si="194"/>
        <v>17983.968828869383</v>
      </c>
      <c r="AH234">
        <f t="shared" si="195"/>
        <v>-810.54614223828753</v>
      </c>
      <c r="AJ234">
        <f t="shared" si="179"/>
        <v>18000</v>
      </c>
      <c r="AK234">
        <f t="shared" si="180"/>
        <v>67179.817227599997</v>
      </c>
      <c r="AL234">
        <v>1</v>
      </c>
      <c r="AM234">
        <f t="shared" si="181"/>
        <v>41.054332750200004</v>
      </c>
      <c r="AN234">
        <f t="shared" si="196"/>
        <v>1646.0665960925835</v>
      </c>
      <c r="AO234">
        <f t="shared" si="197"/>
        <v>-398.34853737399362</v>
      </c>
      <c r="AQ234">
        <f t="shared" si="182"/>
        <v>0.24999375015624609</v>
      </c>
      <c r="AR234">
        <f t="shared" si="183"/>
        <v>-49.998750031249216</v>
      </c>
      <c r="AT234">
        <f t="shared" si="209"/>
        <v>-36030.41414434342</v>
      </c>
      <c r="AU234">
        <f t="shared" si="210"/>
        <v>-899378.59351419075</v>
      </c>
      <c r="AV234">
        <f t="shared" si="198"/>
        <v>-1.6108363695889745</v>
      </c>
      <c r="AW234">
        <f t="shared" si="199"/>
        <v>22491.226405121655</v>
      </c>
      <c r="AX234">
        <f t="shared" si="200"/>
        <v>-90101.356228647244</v>
      </c>
      <c r="AY234">
        <f t="shared" si="208"/>
        <v>-1.3261740277206147</v>
      </c>
      <c r="BA234">
        <f t="shared" si="184"/>
        <v>9.6924514900539602</v>
      </c>
      <c r="BB234">
        <f t="shared" si="201"/>
        <v>19.728672721509422</v>
      </c>
      <c r="BC234">
        <f t="shared" si="202"/>
        <v>-0.28466234186835981</v>
      </c>
      <c r="BD234">
        <f t="shared" si="185"/>
        <v>-196.30995079400404</v>
      </c>
      <c r="BF234">
        <f t="shared" si="186"/>
        <v>-6.6216526474518389</v>
      </c>
      <c r="BG234">
        <f t="shared" si="187"/>
        <v>-114.91054679100903</v>
      </c>
      <c r="BH234">
        <f t="shared" si="203"/>
        <v>65.089453208990975</v>
      </c>
      <c r="BI234">
        <f t="shared" si="204"/>
        <v>65.089453208990975</v>
      </c>
      <c r="BJ234">
        <f t="shared" si="188"/>
        <v>0</v>
      </c>
      <c r="BK234">
        <f t="shared" si="205"/>
        <v>0</v>
      </c>
      <c r="BM234">
        <f t="shared" si="206"/>
        <v>-26.350325368961261</v>
      </c>
      <c r="BN234">
        <f t="shared" si="189"/>
        <v>-98.600595997004987</v>
      </c>
      <c r="BQ234" s="66">
        <f t="shared" si="207"/>
        <v>36.630633521794557</v>
      </c>
      <c r="BR234" s="71"/>
      <c r="BS234" s="71"/>
      <c r="BT234" s="71">
        <v>17378.008000000002</v>
      </c>
      <c r="BU234" s="71">
        <v>-3.8028900000000001</v>
      </c>
      <c r="BV234" s="71">
        <v>-181.726</v>
      </c>
      <c r="BW234" s="75"/>
      <c r="BY234" s="71"/>
      <c r="BZ234" s="71"/>
      <c r="CA234" s="71"/>
      <c r="CC234" s="71"/>
    </row>
    <row r="235" spans="1:81" x14ac:dyDescent="0.2">
      <c r="A235">
        <f>A234+5000</f>
        <v>105000</v>
      </c>
      <c r="B235">
        <f t="shared" si="191"/>
        <v>105</v>
      </c>
      <c r="C235">
        <f t="shared" si="159"/>
        <v>6.6074812673725596</v>
      </c>
      <c r="D235">
        <f t="shared" si="160"/>
        <v>1.4188689383184292</v>
      </c>
      <c r="F235">
        <f t="shared" si="161"/>
        <v>4.6199686146929396E-4</v>
      </c>
      <c r="G235">
        <f t="shared" si="162"/>
        <v>8.8472094086177282E-3</v>
      </c>
      <c r="H235">
        <f t="shared" si="163"/>
        <v>-3.1327454405913824</v>
      </c>
      <c r="J235">
        <f t="shared" si="164"/>
        <v>15</v>
      </c>
      <c r="M235">
        <f t="shared" si="165"/>
        <v>3.2128563409045859E-2</v>
      </c>
      <c r="N235">
        <f t="shared" si="166"/>
        <v>-1.5707963250000001</v>
      </c>
      <c r="O235">
        <f t="shared" si="167"/>
        <v>31.12914323347648</v>
      </c>
      <c r="P235">
        <f t="shared" si="168"/>
        <v>1.5386665612288593</v>
      </c>
      <c r="Q235">
        <f t="shared" si="169"/>
        <v>43.118646858574643</v>
      </c>
      <c r="R235">
        <f t="shared" si="170"/>
        <v>1.5476024248985338</v>
      </c>
      <c r="S235">
        <f t="shared" si="171"/>
        <v>0.24725546607258281</v>
      </c>
      <c r="T235">
        <f t="shared" si="172"/>
        <v>-1.3209495813861367</v>
      </c>
      <c r="U235">
        <f t="shared" si="173"/>
        <v>0.99992955081168422</v>
      </c>
      <c r="V235">
        <f t="shared" si="174"/>
        <v>-1.18701318874387E-2</v>
      </c>
      <c r="X235">
        <f t="shared" si="192"/>
        <v>-6.2278974476717783</v>
      </c>
      <c r="Y235">
        <f t="shared" si="175"/>
        <v>-87.732647259486171</v>
      </c>
      <c r="Z235">
        <f t="shared" si="193"/>
        <v>92.267352740513829</v>
      </c>
      <c r="AC235">
        <v>1</v>
      </c>
      <c r="AD235">
        <f t="shared" si="176"/>
        <v>31.113076968540003</v>
      </c>
      <c r="AE235">
        <f t="shared" si="177"/>
        <v>-2.052636892388241E-5</v>
      </c>
      <c r="AF235">
        <f t="shared" si="178"/>
        <v>1.7291640104865002E-3</v>
      </c>
      <c r="AG235">
        <f t="shared" si="194"/>
        <v>17983.733258046137</v>
      </c>
      <c r="AH235">
        <f t="shared" si="195"/>
        <v>-791.79345347243327</v>
      </c>
      <c r="AJ235">
        <f t="shared" si="179"/>
        <v>18000</v>
      </c>
      <c r="AK235">
        <f t="shared" si="180"/>
        <v>70538.808088979989</v>
      </c>
      <c r="AL235">
        <v>1</v>
      </c>
      <c r="AM235">
        <f t="shared" si="181"/>
        <v>43.107049387709999</v>
      </c>
      <c r="AN235">
        <f t="shared" si="196"/>
        <v>1645.1649920643588</v>
      </c>
      <c r="AO235">
        <f t="shared" si="197"/>
        <v>-379.40047486985907</v>
      </c>
      <c r="AQ235">
        <f t="shared" si="182"/>
        <v>0.22675222784063853</v>
      </c>
      <c r="AR235">
        <f t="shared" si="183"/>
        <v>-47.617967846534093</v>
      </c>
      <c r="AT235">
        <f t="shared" si="209"/>
        <v>-33625.743627392774</v>
      </c>
      <c r="AU235">
        <f t="shared" si="210"/>
        <v>-856528.37297185126</v>
      </c>
      <c r="AV235">
        <f t="shared" si="198"/>
        <v>-1.6100343554792114</v>
      </c>
      <c r="AW235">
        <f t="shared" si="199"/>
        <v>24306.761885834774</v>
      </c>
      <c r="AX235">
        <f t="shared" si="200"/>
        <v>-85803.744879444741</v>
      </c>
      <c r="AY235">
        <f t="shared" si="208"/>
        <v>-1.2947456892388332</v>
      </c>
      <c r="BA235">
        <f t="shared" si="184"/>
        <v>9.611870415737803</v>
      </c>
      <c r="BB235">
        <f t="shared" si="201"/>
        <v>19.65615814295067</v>
      </c>
      <c r="BC235">
        <f t="shared" si="202"/>
        <v>-0.31528866624037821</v>
      </c>
      <c r="BD235">
        <f t="shared" si="185"/>
        <v>-198.06470992452444</v>
      </c>
      <c r="BF235">
        <f t="shared" si="186"/>
        <v>-7.1285173602953158</v>
      </c>
      <c r="BG235">
        <f t="shared" si="187"/>
        <v>-116.26260022361573</v>
      </c>
      <c r="BH235">
        <f t="shared" si="203"/>
        <v>63.737399776384265</v>
      </c>
      <c r="BI235">
        <f t="shared" si="204"/>
        <v>63.737399776384265</v>
      </c>
      <c r="BJ235">
        <f t="shared" si="188"/>
        <v>0</v>
      </c>
      <c r="BK235">
        <f t="shared" si="205"/>
        <v>0</v>
      </c>
      <c r="BM235">
        <f t="shared" si="206"/>
        <v>-26.784675503245982</v>
      </c>
      <c r="BN235">
        <f t="shared" si="189"/>
        <v>-98.197890299091313</v>
      </c>
      <c r="BQ235" s="66">
        <f t="shared" si="207"/>
        <v>36.558118943235804</v>
      </c>
      <c r="BR235" s="71"/>
      <c r="BS235" s="71"/>
      <c r="BT235" s="71">
        <v>17782.794000000002</v>
      </c>
      <c r="BU235" s="71">
        <v>-3.8474200000000001</v>
      </c>
      <c r="BV235" s="71">
        <v>-180.351</v>
      </c>
      <c r="BW235" s="75"/>
      <c r="BY235" s="71"/>
      <c r="BZ235" s="71"/>
      <c r="CA235" s="71"/>
      <c r="CC235" s="71"/>
    </row>
    <row r="236" spans="1:81" x14ac:dyDescent="0.2">
      <c r="A236">
        <f t="shared" ref="A236:A299" si="211">A235+5000</f>
        <v>110000</v>
      </c>
      <c r="B236">
        <f t="shared" si="191"/>
        <v>110</v>
      </c>
      <c r="C236">
        <f t="shared" si="159"/>
        <v>6.9150765994876586</v>
      </c>
      <c r="D236">
        <f t="shared" si="160"/>
        <v>1.4256759341534526</v>
      </c>
      <c r="F236">
        <f t="shared" si="161"/>
        <v>4.2093572613906624E-4</v>
      </c>
      <c r="G236">
        <f t="shared" si="162"/>
        <v>8.4447335517433136E-3</v>
      </c>
      <c r="H236">
        <f t="shared" si="163"/>
        <v>-3.133147916448257</v>
      </c>
      <c r="J236">
        <f t="shared" si="164"/>
        <v>15</v>
      </c>
      <c r="M236">
        <f t="shared" si="165"/>
        <v>3.0668174163180136E-2</v>
      </c>
      <c r="N236">
        <f t="shared" si="166"/>
        <v>-1.5707963250000001</v>
      </c>
      <c r="O236">
        <f t="shared" si="167"/>
        <v>32.609988394065617</v>
      </c>
      <c r="P236">
        <f t="shared" si="168"/>
        <v>1.5401260676526054</v>
      </c>
      <c r="Q236">
        <f t="shared" si="169"/>
        <v>45.170836470588128</v>
      </c>
      <c r="R236">
        <f t="shared" si="170"/>
        <v>1.5486563404826568</v>
      </c>
      <c r="S236">
        <f t="shared" si="171"/>
        <v>0.23666015892309278</v>
      </c>
      <c r="T236">
        <f t="shared" si="172"/>
        <v>-1.3318694145066392</v>
      </c>
      <c r="U236">
        <f t="shared" si="173"/>
        <v>0.99992268241309645</v>
      </c>
      <c r="V236">
        <f t="shared" si="174"/>
        <v>-1.2435319317084963E-2</v>
      </c>
      <c r="X236">
        <f t="shared" si="192"/>
        <v>-6.6181537700929729</v>
      </c>
      <c r="Y236">
        <f t="shared" si="175"/>
        <v>-87.879730027057434</v>
      </c>
      <c r="Z236">
        <f t="shared" si="193"/>
        <v>92.120269972942566</v>
      </c>
      <c r="AC236">
        <v>1</v>
      </c>
      <c r="AD236">
        <f t="shared" si="176"/>
        <v>32.594652062280005</v>
      </c>
      <c r="AE236">
        <f t="shared" si="177"/>
        <v>-2.2527806256596564E-5</v>
      </c>
      <c r="AF236">
        <f t="shared" si="178"/>
        <v>1.8115051538430001E-3</v>
      </c>
      <c r="AG236">
        <f t="shared" si="194"/>
        <v>17983.4862025935</v>
      </c>
      <c r="AH236">
        <f t="shared" si="195"/>
        <v>-775.66905620406737</v>
      </c>
      <c r="AJ236">
        <f t="shared" si="179"/>
        <v>18000</v>
      </c>
      <c r="AK236">
        <f t="shared" si="180"/>
        <v>73897.798950359997</v>
      </c>
      <c r="AL236">
        <v>1</v>
      </c>
      <c r="AM236">
        <f t="shared" si="181"/>
        <v>45.159766025220001</v>
      </c>
      <c r="AN236">
        <f t="shared" si="196"/>
        <v>1644.3834366653214</v>
      </c>
      <c r="AO236">
        <f t="shared" si="197"/>
        <v>-362.17230519309362</v>
      </c>
      <c r="AQ236">
        <f t="shared" si="182"/>
        <v>0.20660730150203507</v>
      </c>
      <c r="AR236">
        <f t="shared" si="183"/>
        <v>-45.45360633044772</v>
      </c>
      <c r="AT236">
        <f t="shared" si="209"/>
        <v>-31541.436367492679</v>
      </c>
      <c r="AU236">
        <f t="shared" si="210"/>
        <v>-817574.56119228411</v>
      </c>
      <c r="AV236">
        <f t="shared" si="198"/>
        <v>-1.6093564820132136</v>
      </c>
      <c r="AW236">
        <f t="shared" si="199"/>
        <v>25880.506584136408</v>
      </c>
      <c r="AX236">
        <f t="shared" si="200"/>
        <v>-81905.464941888466</v>
      </c>
      <c r="AY236">
        <f t="shared" si="208"/>
        <v>-1.2647440182174328</v>
      </c>
      <c r="BA236">
        <f t="shared" si="184"/>
        <v>9.525153811453313</v>
      </c>
      <c r="BB236">
        <f t="shared" si="201"/>
        <v>19.577439947165395</v>
      </c>
      <c r="BC236">
        <f t="shared" si="202"/>
        <v>-0.34461246379578081</v>
      </c>
      <c r="BD236">
        <f t="shared" si="185"/>
        <v>-199.74483976566489</v>
      </c>
      <c r="BF236">
        <f t="shared" si="186"/>
        <v>-7.6204792221744402</v>
      </c>
      <c r="BG236">
        <f t="shared" si="187"/>
        <v>-117.57577809978174</v>
      </c>
      <c r="BH236">
        <f t="shared" si="203"/>
        <v>62.424221900218257</v>
      </c>
      <c r="BI236">
        <f t="shared" si="204"/>
        <v>62.424221900218257</v>
      </c>
      <c r="BJ236">
        <f t="shared" si="188"/>
        <v>0</v>
      </c>
      <c r="BK236">
        <f t="shared" si="205"/>
        <v>0</v>
      </c>
      <c r="BM236">
        <f t="shared" si="206"/>
        <v>-27.197919169339837</v>
      </c>
      <c r="BN236">
        <f t="shared" si="189"/>
        <v>-97.830938334116851</v>
      </c>
      <c r="BQ236" s="66">
        <f t="shared" si="207"/>
        <v>36.479400747450534</v>
      </c>
      <c r="BR236" s="71"/>
      <c r="BS236" s="71"/>
      <c r="BT236" s="71">
        <v>18197.008999999998</v>
      </c>
      <c r="BU236" s="71">
        <v>-3.8303199999999999</v>
      </c>
      <c r="BV236" s="71">
        <v>-179.43</v>
      </c>
      <c r="BY236" s="71"/>
      <c r="BZ236" s="71"/>
      <c r="CA236" s="71"/>
      <c r="CC236" s="71"/>
    </row>
    <row r="237" spans="1:81" x14ac:dyDescent="0.2">
      <c r="A237">
        <f t="shared" si="211"/>
        <v>115000</v>
      </c>
      <c r="B237">
        <f t="shared" si="191"/>
        <v>115</v>
      </c>
      <c r="C237">
        <f t="shared" si="159"/>
        <v>7.2229650449045053</v>
      </c>
      <c r="D237">
        <f t="shared" si="160"/>
        <v>1.4319028839606236</v>
      </c>
      <c r="F237">
        <f t="shared" si="161"/>
        <v>3.8511560093039697E-4</v>
      </c>
      <c r="G237">
        <f t="shared" si="162"/>
        <v>8.0772958813508603E-3</v>
      </c>
      <c r="H237">
        <f t="shared" si="163"/>
        <v>-3.1335153541186496</v>
      </c>
      <c r="J237">
        <f t="shared" si="164"/>
        <v>15</v>
      </c>
      <c r="M237">
        <f t="shared" si="165"/>
        <v>2.9334775286520134E-2</v>
      </c>
      <c r="N237">
        <f t="shared" si="166"/>
        <v>-1.5707963250000001</v>
      </c>
      <c r="O237">
        <f t="shared" si="167"/>
        <v>34.090896984219633</v>
      </c>
      <c r="P237">
        <f t="shared" si="168"/>
        <v>1.5414587747930204</v>
      </c>
      <c r="Q237">
        <f t="shared" si="169"/>
        <v>47.223071894769632</v>
      </c>
      <c r="R237">
        <f t="shared" si="170"/>
        <v>1.5496186542557417</v>
      </c>
      <c r="S237">
        <f t="shared" si="171"/>
        <v>0.22691178008938162</v>
      </c>
      <c r="T237">
        <f t="shared" si="172"/>
        <v>-1.3418907541383431</v>
      </c>
      <c r="U237">
        <f t="shared" si="173"/>
        <v>0.99991549470566943</v>
      </c>
      <c r="V237">
        <f t="shared" si="174"/>
        <v>-1.3000498801836241E-2</v>
      </c>
      <c r="X237">
        <f t="shared" si="192"/>
        <v>-6.9921269143656524</v>
      </c>
      <c r="Y237">
        <f t="shared" si="175"/>
        <v>-88.01907256464321</v>
      </c>
      <c r="Z237">
        <f t="shared" si="193"/>
        <v>91.98092743535679</v>
      </c>
      <c r="AC237">
        <v>1</v>
      </c>
      <c r="AD237">
        <f t="shared" si="176"/>
        <v>34.076227156020003</v>
      </c>
      <c r="AE237">
        <f t="shared" si="177"/>
        <v>-2.4622333697809059E-5</v>
      </c>
      <c r="AF237">
        <f t="shared" si="178"/>
        <v>1.8938462971995001E-3</v>
      </c>
      <c r="AG237">
        <f t="shared" si="194"/>
        <v>17983.22766345834</v>
      </c>
      <c r="AH237">
        <f t="shared" si="195"/>
        <v>-761.83005697286376</v>
      </c>
      <c r="AJ237">
        <f t="shared" si="179"/>
        <v>18000</v>
      </c>
      <c r="AK237">
        <f t="shared" si="180"/>
        <v>77256.789811740004</v>
      </c>
      <c r="AL237">
        <v>1</v>
      </c>
      <c r="AM237">
        <f t="shared" si="181"/>
        <v>47.212482662729997</v>
      </c>
      <c r="AN237">
        <f t="shared" si="196"/>
        <v>1643.7015289519295</v>
      </c>
      <c r="AO237">
        <f t="shared" si="197"/>
        <v>-346.44012660575243</v>
      </c>
      <c r="AQ237">
        <f t="shared" si="182"/>
        <v>0.18903234343396155</v>
      </c>
      <c r="AR237">
        <f t="shared" si="183"/>
        <v>-43.477438989811155</v>
      </c>
      <c r="AT237">
        <f t="shared" si="209"/>
        <v>-29723.008154912066</v>
      </c>
      <c r="AU237">
        <f t="shared" si="210"/>
        <v>-782008.69409886212</v>
      </c>
      <c r="AV237">
        <f t="shared" si="198"/>
        <v>-1.6087865789078513</v>
      </c>
      <c r="AW237">
        <f t="shared" si="199"/>
        <v>27253.537014390604</v>
      </c>
      <c r="AX237">
        <f t="shared" si="200"/>
        <v>-78353.362478753988</v>
      </c>
      <c r="AY237">
        <f t="shared" si="208"/>
        <v>-1.2360572859345138</v>
      </c>
      <c r="BA237">
        <f t="shared" si="184"/>
        <v>9.4333853254868991</v>
      </c>
      <c r="BB237">
        <f t="shared" si="201"/>
        <v>19.493351488551575</v>
      </c>
      <c r="BC237">
        <f t="shared" si="202"/>
        <v>-0.37272929297333746</v>
      </c>
      <c r="BD237">
        <f t="shared" si="185"/>
        <v>-201.35581541266998</v>
      </c>
      <c r="BF237">
        <f t="shared" si="186"/>
        <v>-8.0986908251993963</v>
      </c>
      <c r="BG237">
        <f t="shared" si="187"/>
        <v>-118.85102843096013</v>
      </c>
      <c r="BH237">
        <f t="shared" si="203"/>
        <v>61.148971569039873</v>
      </c>
      <c r="BI237">
        <f t="shared" si="204"/>
        <v>61.148971569039873</v>
      </c>
      <c r="BJ237">
        <f t="shared" si="188"/>
        <v>0</v>
      </c>
      <c r="BK237">
        <f t="shared" si="205"/>
        <v>0</v>
      </c>
      <c r="BM237">
        <f t="shared" si="206"/>
        <v>-27.592042313750969</v>
      </c>
      <c r="BN237">
        <f t="shared" si="189"/>
        <v>-97.495213018290144</v>
      </c>
      <c r="BQ237" s="66">
        <f t="shared" si="207"/>
        <v>36.395312288836713</v>
      </c>
      <c r="BR237" s="71"/>
      <c r="BS237" s="71"/>
      <c r="BT237" s="71">
        <v>18620.870999999999</v>
      </c>
      <c r="BU237" s="71">
        <v>-3.77474</v>
      </c>
      <c r="BV237" s="71">
        <v>-178.09100000000001</v>
      </c>
      <c r="BY237" s="71"/>
      <c r="BZ237" s="71"/>
      <c r="CA237" s="71"/>
      <c r="CC237" s="71"/>
    </row>
    <row r="238" spans="1:81" x14ac:dyDescent="0.2">
      <c r="A238">
        <f t="shared" si="211"/>
        <v>120000</v>
      </c>
      <c r="B238">
        <f t="shared" si="191"/>
        <v>120</v>
      </c>
      <c r="C238">
        <f t="shared" si="159"/>
        <v>7.5311106543504529</v>
      </c>
      <c r="D238">
        <f t="shared" si="160"/>
        <v>1.4376204724028414</v>
      </c>
      <c r="F238">
        <f t="shared" si="161"/>
        <v>3.5368097101849645E-4</v>
      </c>
      <c r="G238">
        <f t="shared" si="162"/>
        <v>7.7405103221894278E-3</v>
      </c>
      <c r="H238">
        <f t="shared" si="163"/>
        <v>-3.1338521396778107</v>
      </c>
      <c r="J238">
        <f t="shared" si="164"/>
        <v>15</v>
      </c>
      <c r="M238">
        <f t="shared" si="165"/>
        <v>2.8112492982915127E-2</v>
      </c>
      <c r="N238">
        <f t="shared" si="166"/>
        <v>-1.5707963250000001</v>
      </c>
      <c r="O238">
        <f t="shared" si="167"/>
        <v>35.571861081942806</v>
      </c>
      <c r="P238">
        <f t="shared" si="168"/>
        <v>1.542680514702224</v>
      </c>
      <c r="Q238">
        <f t="shared" si="169"/>
        <v>49.275347407120002</v>
      </c>
      <c r="R238">
        <f t="shared" si="170"/>
        <v>1.5505008097207684</v>
      </c>
      <c r="S238">
        <f t="shared" si="171"/>
        <v>0.2179153744209682</v>
      </c>
      <c r="T238">
        <f t="shared" si="172"/>
        <v>-1.3511183251280248</v>
      </c>
      <c r="U238">
        <f t="shared" si="173"/>
        <v>0.99990798771006428</v>
      </c>
      <c r="V238">
        <f t="shared" si="174"/>
        <v>-1.3565669980799762E-2</v>
      </c>
      <c r="X238">
        <f t="shared" si="192"/>
        <v>-7.3510893188814395</v>
      </c>
      <c r="Y238">
        <f t="shared" si="175"/>
        <v>-88.151313739846017</v>
      </c>
      <c r="Z238">
        <f t="shared" si="193"/>
        <v>91.848686260153983</v>
      </c>
      <c r="AC238">
        <v>1</v>
      </c>
      <c r="AD238">
        <f t="shared" si="176"/>
        <v>35.557802249760002</v>
      </c>
      <c r="AE238">
        <f t="shared" si="177"/>
        <v>-2.6809951247519875E-5</v>
      </c>
      <c r="AF238">
        <f t="shared" si="178"/>
        <v>1.976187440556E-3</v>
      </c>
      <c r="AG238">
        <f t="shared" si="194"/>
        <v>17982.957641631525</v>
      </c>
      <c r="AH238">
        <f t="shared" si="195"/>
        <v>-749.99070798737648</v>
      </c>
      <c r="AJ238">
        <f t="shared" si="179"/>
        <v>18000</v>
      </c>
      <c r="AK238">
        <f t="shared" si="180"/>
        <v>80615.780673119996</v>
      </c>
      <c r="AL238">
        <v>1</v>
      </c>
      <c r="AM238">
        <f t="shared" si="181"/>
        <v>49.265199300239999</v>
      </c>
      <c r="AN238">
        <f t="shared" si="196"/>
        <v>1643.1030238965016</v>
      </c>
      <c r="AO238">
        <f t="shared" si="197"/>
        <v>-332.0172699681703</v>
      </c>
      <c r="AQ238">
        <f t="shared" si="182"/>
        <v>0.1736080970816479</v>
      </c>
      <c r="AR238">
        <f t="shared" si="183"/>
        <v>-41.66594329959549</v>
      </c>
      <c r="AT238">
        <f t="shared" si="209"/>
        <v>-28127.08325816198</v>
      </c>
      <c r="AU238">
        <f t="shared" si="210"/>
        <v>-749407.09791488922</v>
      </c>
      <c r="AV238">
        <f t="shared" si="198"/>
        <v>-1.6083111663141054</v>
      </c>
      <c r="AW238">
        <f t="shared" si="199"/>
        <v>28458.563933043853</v>
      </c>
      <c r="AX238">
        <f t="shared" si="200"/>
        <v>-75103.350843838823</v>
      </c>
      <c r="AY238">
        <f t="shared" si="208"/>
        <v>-1.2085886978259319</v>
      </c>
      <c r="BA238">
        <f t="shared" si="184"/>
        <v>9.3374878303730515</v>
      </c>
      <c r="BB238">
        <f t="shared" si="201"/>
        <v>19.404600976082975</v>
      </c>
      <c r="BC238">
        <f t="shared" si="202"/>
        <v>-0.3997224684881735</v>
      </c>
      <c r="BD238">
        <f t="shared" si="185"/>
        <v>-202.90241044709319</v>
      </c>
      <c r="BF238">
        <f t="shared" si="186"/>
        <v>-8.5641593835710967</v>
      </c>
      <c r="BG238">
        <f t="shared" si="187"/>
        <v>-120.0893261694401</v>
      </c>
      <c r="BH238">
        <f t="shared" si="203"/>
        <v>59.910673830559901</v>
      </c>
      <c r="BI238">
        <f t="shared" si="204"/>
        <v>59.910673830559901</v>
      </c>
      <c r="BJ238">
        <f t="shared" si="188"/>
        <v>0</v>
      </c>
      <c r="BK238">
        <f t="shared" si="205"/>
        <v>0</v>
      </c>
      <c r="BM238">
        <f t="shared" si="206"/>
        <v>-27.96876035965407</v>
      </c>
      <c r="BN238">
        <f t="shared" si="189"/>
        <v>-97.186915722346896</v>
      </c>
      <c r="BQ238" s="66">
        <f t="shared" si="207"/>
        <v>36.306561776368113</v>
      </c>
      <c r="BR238" s="71"/>
      <c r="BS238" s="71"/>
      <c r="BT238" s="71">
        <v>19054.607</v>
      </c>
      <c r="BU238" s="71">
        <v>-3.7312500000000002</v>
      </c>
      <c r="BV238" s="71">
        <v>-176.916</v>
      </c>
      <c r="BY238" s="71"/>
      <c r="BZ238" s="71"/>
      <c r="CA238" s="71"/>
      <c r="CC238" s="71"/>
    </row>
    <row r="239" spans="1:81" x14ac:dyDescent="0.2">
      <c r="A239">
        <f t="shared" si="211"/>
        <v>125000</v>
      </c>
      <c r="B239">
        <f t="shared" si="191"/>
        <v>125</v>
      </c>
      <c r="C239">
        <f t="shared" si="159"/>
        <v>7.839483102938452</v>
      </c>
      <c r="D239">
        <f t="shared" si="160"/>
        <v>1.4428884099591048</v>
      </c>
      <c r="F239">
        <f t="shared" si="161"/>
        <v>3.2594403410544226E-4</v>
      </c>
      <c r="G239">
        <f t="shared" si="162"/>
        <v>7.4306937570212082E-3</v>
      </c>
      <c r="H239">
        <f t="shared" si="163"/>
        <v>-3.1341619562429792</v>
      </c>
      <c r="J239">
        <f t="shared" si="164"/>
        <v>15</v>
      </c>
      <c r="M239">
        <f t="shared" si="165"/>
        <v>2.698799326359852E-2</v>
      </c>
      <c r="N239">
        <f t="shared" si="166"/>
        <v>-1.5707963250000001</v>
      </c>
      <c r="O239">
        <f t="shared" si="167"/>
        <v>37.052874031499655</v>
      </c>
      <c r="P239">
        <f t="shared" si="168"/>
        <v>1.5438045896595507</v>
      </c>
      <c r="Q239">
        <f t="shared" si="169"/>
        <v>51.327658199005882</v>
      </c>
      <c r="R239">
        <f t="shared" si="170"/>
        <v>1.5513124206841251</v>
      </c>
      <c r="S239">
        <f t="shared" si="171"/>
        <v>0.20958927257808521</v>
      </c>
      <c r="T239">
        <f t="shared" si="172"/>
        <v>-1.3596414430551129</v>
      </c>
      <c r="U239">
        <f t="shared" si="173"/>
        <v>0.99990016144785943</v>
      </c>
      <c r="V239">
        <f t="shared" si="174"/>
        <v>-1.413083249311459E-2</v>
      </c>
      <c r="X239">
        <f t="shared" si="192"/>
        <v>-7.6961728811825383</v>
      </c>
      <c r="Y239">
        <f t="shared" si="175"/>
        <v>-88.27704781137578</v>
      </c>
      <c r="Z239">
        <f t="shared" si="193"/>
        <v>91.72295218862422</v>
      </c>
      <c r="AC239">
        <v>1</v>
      </c>
      <c r="AD239">
        <f t="shared" si="176"/>
        <v>37.039377343500007</v>
      </c>
      <c r="AE239">
        <f t="shared" si="177"/>
        <v>-2.9090658905729038E-5</v>
      </c>
      <c r="AF239">
        <f t="shared" si="178"/>
        <v>2.0585285839125004E-3</v>
      </c>
      <c r="AG239">
        <f t="shared" si="194"/>
        <v>17982.676138147865</v>
      </c>
      <c r="AH239">
        <f t="shared" si="195"/>
        <v>-739.91097799193551</v>
      </c>
      <c r="AJ239">
        <f t="shared" si="179"/>
        <v>18000</v>
      </c>
      <c r="AK239">
        <f t="shared" si="180"/>
        <v>83974.771534499989</v>
      </c>
      <c r="AL239">
        <v>1</v>
      </c>
      <c r="AM239">
        <f t="shared" si="181"/>
        <v>51.317915937749994</v>
      </c>
      <c r="AN239">
        <f t="shared" si="196"/>
        <v>1642.5748564689707</v>
      </c>
      <c r="AO239">
        <f t="shared" si="197"/>
        <v>-318.74687123641235</v>
      </c>
      <c r="AQ239">
        <f t="shared" si="182"/>
        <v>0.15999744004095934</v>
      </c>
      <c r="AR239">
        <f t="shared" si="183"/>
        <v>-39.999360010239833</v>
      </c>
      <c r="AT239">
        <f t="shared" si="209"/>
        <v>-26718.783437038768</v>
      </c>
      <c r="AU239">
        <f t="shared" si="210"/>
        <v>-719413.92065966269</v>
      </c>
      <c r="AV239">
        <f t="shared" si="198"/>
        <v>-1.6079189177564854</v>
      </c>
      <c r="AW239">
        <f t="shared" si="199"/>
        <v>29521.896317594685</v>
      </c>
      <c r="AX239">
        <f t="shared" si="200"/>
        <v>-72118.550266125923</v>
      </c>
      <c r="AY239">
        <f t="shared" si="208"/>
        <v>-1.182253689480419</v>
      </c>
      <c r="BA239">
        <f t="shared" si="184"/>
        <v>9.2382524773277428</v>
      </c>
      <c r="BB239">
        <f t="shared" si="201"/>
        <v>19.311796542951615</v>
      </c>
      <c r="BC239">
        <f t="shared" si="202"/>
        <v>-0.42566522827606645</v>
      </c>
      <c r="BD239">
        <f t="shared" si="185"/>
        <v>-204.38882109355964</v>
      </c>
      <c r="BF239">
        <f t="shared" si="186"/>
        <v>-9.0177689809366139</v>
      </c>
      <c r="BG239">
        <f t="shared" si="187"/>
        <v>-121.29165740847698</v>
      </c>
      <c r="BH239">
        <f t="shared" si="203"/>
        <v>58.708342591523021</v>
      </c>
      <c r="BI239">
        <f t="shared" si="204"/>
        <v>58.708342591523021</v>
      </c>
      <c r="BJ239">
        <f t="shared" si="188"/>
        <v>0</v>
      </c>
      <c r="BK239">
        <f t="shared" si="205"/>
        <v>0</v>
      </c>
      <c r="BM239">
        <f t="shared" si="206"/>
        <v>-28.329565523888228</v>
      </c>
      <c r="BN239">
        <f t="shared" si="189"/>
        <v>-96.902836314917337</v>
      </c>
      <c r="BQ239" s="66">
        <f t="shared" si="207"/>
        <v>36.21375734323675</v>
      </c>
      <c r="BR239" s="71"/>
      <c r="BS239" s="71"/>
      <c r="BT239" s="71">
        <v>19498.446</v>
      </c>
      <c r="BU239" s="71">
        <v>-3.7243200000000001</v>
      </c>
      <c r="BV239" s="71">
        <v>-175.511</v>
      </c>
      <c r="BY239" s="71"/>
      <c r="BZ239" s="71"/>
      <c r="CA239" s="71"/>
      <c r="CC239" s="71"/>
    </row>
    <row r="240" spans="1:81" x14ac:dyDescent="0.2">
      <c r="A240">
        <f t="shared" si="211"/>
        <v>130000</v>
      </c>
      <c r="B240">
        <f t="shared" si="191"/>
        <v>130</v>
      </c>
      <c r="C240">
        <f t="shared" si="159"/>
        <v>8.1480566357550632</v>
      </c>
      <c r="D240">
        <f t="shared" si="160"/>
        <v>1.4477574720795592</v>
      </c>
      <c r="F240">
        <f t="shared" si="161"/>
        <v>3.0134673660657762E-4</v>
      </c>
      <c r="G240">
        <f t="shared" si="162"/>
        <v>7.1447305842595689E-3</v>
      </c>
      <c r="H240">
        <f t="shared" si="163"/>
        <v>-3.1344479194157406</v>
      </c>
      <c r="J240">
        <f t="shared" si="164"/>
        <v>15</v>
      </c>
      <c r="M240">
        <f t="shared" si="165"/>
        <v>2.5949993522690888E-2</v>
      </c>
      <c r="N240">
        <f t="shared" si="166"/>
        <v>-1.5707963250000001</v>
      </c>
      <c r="O240">
        <f t="shared" si="167"/>
        <v>38.533930200176918</v>
      </c>
      <c r="P240">
        <f t="shared" si="168"/>
        <v>1.544842257937227</v>
      </c>
      <c r="Q240">
        <f t="shared" si="169"/>
        <v>53.380000201230835</v>
      </c>
      <c r="R240">
        <f t="shared" si="170"/>
        <v>1.5520616228455861</v>
      </c>
      <c r="S240">
        <f t="shared" si="171"/>
        <v>0.2018629181500623</v>
      </c>
      <c r="T240">
        <f t="shared" si="172"/>
        <v>-1.3675367028784295</v>
      </c>
      <c r="U240">
        <f t="shared" si="173"/>
        <v>0.99989201594155008</v>
      </c>
      <c r="V240">
        <f t="shared" si="174"/>
        <v>-1.4695985977952996E-2</v>
      </c>
      <c r="X240">
        <f t="shared" si="192"/>
        <v>-8.0283886041608721</v>
      </c>
      <c r="Y240">
        <f t="shared" si="175"/>
        <v>-88.396821425513323</v>
      </c>
      <c r="Z240">
        <f t="shared" si="193"/>
        <v>91.603178574486677</v>
      </c>
      <c r="AC240">
        <v>1</v>
      </c>
      <c r="AD240">
        <f t="shared" si="176"/>
        <v>38.520952437240005</v>
      </c>
      <c r="AE240">
        <f t="shared" si="177"/>
        <v>-3.1464456672436522E-5</v>
      </c>
      <c r="AF240">
        <f t="shared" si="178"/>
        <v>2.1408697272689999E-3</v>
      </c>
      <c r="AG240">
        <f t="shared" si="194"/>
        <v>17982.383154086136</v>
      </c>
      <c r="AH240">
        <f t="shared" si="195"/>
        <v>-731.38776062582542</v>
      </c>
      <c r="AJ240">
        <f t="shared" si="179"/>
        <v>18000</v>
      </c>
      <c r="AK240">
        <f t="shared" si="180"/>
        <v>87333.762395879996</v>
      </c>
      <c r="AL240">
        <v>1</v>
      </c>
      <c r="AM240">
        <f t="shared" si="181"/>
        <v>53.370632575259997</v>
      </c>
      <c r="AN240">
        <f t="shared" si="196"/>
        <v>1642.1064229559959</v>
      </c>
      <c r="AO240">
        <f t="shared" si="197"/>
        <v>-306.49615317894359</v>
      </c>
      <c r="AQ240">
        <f t="shared" si="182"/>
        <v>0.14792680581648202</v>
      </c>
      <c r="AR240">
        <f t="shared" si="183"/>
        <v>-38.460969512285324</v>
      </c>
      <c r="AT240">
        <f t="shared" si="209"/>
        <v>-25469.805862136433</v>
      </c>
      <c r="AU240">
        <f t="shared" si="210"/>
        <v>-691728.08210278268</v>
      </c>
      <c r="AV240">
        <f t="shared" si="198"/>
        <v>-1.6076002467494526</v>
      </c>
      <c r="AW240">
        <f t="shared" si="199"/>
        <v>30464.887818406278</v>
      </c>
      <c r="AX240">
        <f t="shared" si="200"/>
        <v>-69367.868661383269</v>
      </c>
      <c r="AY240">
        <f t="shared" si="208"/>
        <v>-1.1569777779118984</v>
      </c>
      <c r="BA240">
        <f t="shared" si="184"/>
        <v>9.1363611570169994</v>
      </c>
      <c r="BB240">
        <f t="shared" si="201"/>
        <v>19.215465174864399</v>
      </c>
      <c r="BC240">
        <f t="shared" si="202"/>
        <v>-0.45062246883755419</v>
      </c>
      <c r="BD240">
        <f t="shared" si="185"/>
        <v>-205.81876564765955</v>
      </c>
      <c r="BF240">
        <f t="shared" si="186"/>
        <v>-9.460299009179252</v>
      </c>
      <c r="BG240">
        <f t="shared" si="187"/>
        <v>-122.45900973548316</v>
      </c>
      <c r="BH240">
        <f t="shared" si="203"/>
        <v>57.540990264516836</v>
      </c>
      <c r="BI240">
        <f t="shared" si="204"/>
        <v>57.540990264516836</v>
      </c>
      <c r="BJ240">
        <f t="shared" si="188"/>
        <v>0</v>
      </c>
      <c r="BK240">
        <f t="shared" si="205"/>
        <v>0</v>
      </c>
      <c r="BM240">
        <f t="shared" si="206"/>
        <v>-28.675764184043651</v>
      </c>
      <c r="BN240">
        <f t="shared" si="189"/>
        <v>-96.640244087823618</v>
      </c>
      <c r="BQ240" s="66">
        <f t="shared" si="207"/>
        <v>36.117425975149537</v>
      </c>
      <c r="BR240" s="71"/>
      <c r="BS240" s="71"/>
      <c r="BT240" s="71">
        <v>19952.623</v>
      </c>
      <c r="BU240" s="71">
        <v>-3.67421</v>
      </c>
      <c r="BV240" s="71">
        <v>-174.244</v>
      </c>
      <c r="BY240" s="71"/>
      <c r="BZ240" s="71"/>
      <c r="CA240" s="71"/>
      <c r="CC240" s="71"/>
    </row>
    <row r="241" spans="1:81" x14ac:dyDescent="0.2">
      <c r="A241">
        <f t="shared" si="211"/>
        <v>135000</v>
      </c>
      <c r="B241">
        <f t="shared" si="191"/>
        <v>135</v>
      </c>
      <c r="C241">
        <f t="shared" si="159"/>
        <v>8.4568092412395544</v>
      </c>
      <c r="D241">
        <f t="shared" si="160"/>
        <v>1.4522711022106727</v>
      </c>
      <c r="F241">
        <f t="shared" si="161"/>
        <v>2.7943247092582587E-4</v>
      </c>
      <c r="G241">
        <f t="shared" si="162"/>
        <v>6.879967437164322E-3</v>
      </c>
      <c r="H241">
        <f t="shared" si="163"/>
        <v>-3.134712682562836</v>
      </c>
      <c r="J241">
        <f t="shared" si="164"/>
        <v>15</v>
      </c>
      <c r="M241">
        <f t="shared" si="165"/>
        <v>2.4988882651480113E-2</v>
      </c>
      <c r="N241">
        <f t="shared" si="166"/>
        <v>-1.5707963250000001</v>
      </c>
      <c r="O241">
        <f t="shared" si="167"/>
        <v>40.0150247890316</v>
      </c>
      <c r="P241">
        <f t="shared" si="168"/>
        <v>1.5458031117964508</v>
      </c>
      <c r="Q241">
        <f t="shared" si="169"/>
        <v>55.432369947176653</v>
      </c>
      <c r="R241">
        <f t="shared" si="170"/>
        <v>1.5527553473244244</v>
      </c>
      <c r="S241">
        <f t="shared" si="171"/>
        <v>0.19467509218566728</v>
      </c>
      <c r="T241">
        <f t="shared" si="172"/>
        <v>-1.3748701327971511</v>
      </c>
      <c r="U241">
        <f t="shared" si="173"/>
        <v>0.99988355121454786</v>
      </c>
      <c r="V241">
        <f t="shared" si="174"/>
        <v>-1.5261130074521853E-2</v>
      </c>
      <c r="X241">
        <f t="shared" si="192"/>
        <v>-8.3486429566559828</v>
      </c>
      <c r="Y241">
        <f t="shared" si="175"/>
        <v>-88.511133879350325</v>
      </c>
      <c r="Z241">
        <f t="shared" si="193"/>
        <v>91.488866120649675</v>
      </c>
      <c r="AC241">
        <v>1</v>
      </c>
      <c r="AD241">
        <f t="shared" si="176"/>
        <v>40.002527530980004</v>
      </c>
      <c r="AE241">
        <f t="shared" si="177"/>
        <v>-3.3931344547642347E-5</v>
      </c>
      <c r="AF241">
        <f t="shared" si="178"/>
        <v>2.2232108706255003E-3</v>
      </c>
      <c r="AG241">
        <f t="shared" si="194"/>
        <v>17982.078690569029</v>
      </c>
      <c r="AH241">
        <f t="shared" si="195"/>
        <v>-724.24803648045213</v>
      </c>
      <c r="AJ241">
        <f t="shared" si="179"/>
        <v>18000</v>
      </c>
      <c r="AK241">
        <f t="shared" si="180"/>
        <v>90692.753257260003</v>
      </c>
      <c r="AL241">
        <v>1</v>
      </c>
      <c r="AM241">
        <f t="shared" si="181"/>
        <v>55.423349212770006</v>
      </c>
      <c r="AN241">
        <f t="shared" si="196"/>
        <v>1641.6890448552026</v>
      </c>
      <c r="AO241">
        <f t="shared" si="197"/>
        <v>-295.15197452873713</v>
      </c>
      <c r="AQ241">
        <f t="shared" si="182"/>
        <v>0.13717232959767356</v>
      </c>
      <c r="AR241">
        <f t="shared" si="183"/>
        <v>-37.03652899137186</v>
      </c>
      <c r="AT241">
        <f t="shared" si="209"/>
        <v>-24356.989775058373</v>
      </c>
      <c r="AU241">
        <f t="shared" si="210"/>
        <v>-666093.12553876056</v>
      </c>
      <c r="AV241">
        <f t="shared" si="198"/>
        <v>-1.6073469850991089</v>
      </c>
      <c r="AW241">
        <f t="shared" si="199"/>
        <v>31305.015848033028</v>
      </c>
      <c r="AX241">
        <f t="shared" si="200"/>
        <v>-66824.905952864647</v>
      </c>
      <c r="AY241">
        <f t="shared" si="208"/>
        <v>-1.1326948469496734</v>
      </c>
      <c r="BA241">
        <f t="shared" si="184"/>
        <v>9.032404094235627</v>
      </c>
      <c r="BB241">
        <f t="shared" si="201"/>
        <v>19.116067178805348</v>
      </c>
      <c r="BC241">
        <f t="shared" si="202"/>
        <v>-0.47465213814943552</v>
      </c>
      <c r="BD241">
        <f t="shared" si="185"/>
        <v>-207.19556428389862</v>
      </c>
      <c r="BF241">
        <f t="shared" si="186"/>
        <v>-9.8924395304183186</v>
      </c>
      <c r="BG241">
        <f t="shared" si="187"/>
        <v>-123.59236622554734</v>
      </c>
      <c r="BH241">
        <f t="shared" si="203"/>
        <v>56.407633774452663</v>
      </c>
      <c r="BI241">
        <f t="shared" si="204"/>
        <v>56.407633774452663</v>
      </c>
      <c r="BJ241">
        <f t="shared" si="188"/>
        <v>0</v>
      </c>
      <c r="BK241">
        <f t="shared" si="205"/>
        <v>0</v>
      </c>
      <c r="BM241">
        <f t="shared" si="206"/>
        <v>-29.008506709223663</v>
      </c>
      <c r="BN241">
        <f t="shared" si="189"/>
        <v>-96.396801941648732</v>
      </c>
      <c r="BQ241" s="66">
        <f t="shared" si="207"/>
        <v>36.018027979090483</v>
      </c>
      <c r="BR241" s="71"/>
      <c r="BS241" s="71"/>
      <c r="BT241" s="71">
        <v>20417.379000000001</v>
      </c>
      <c r="BU241" s="71">
        <v>-3.6440899999999998</v>
      </c>
      <c r="BV241" s="71">
        <v>-173.369</v>
      </c>
      <c r="BY241" s="71"/>
      <c r="BZ241" s="71"/>
      <c r="CA241" s="71"/>
      <c r="CC241" s="71"/>
    </row>
    <row r="242" spans="1:81" x14ac:dyDescent="0.2">
      <c r="A242">
        <f t="shared" si="211"/>
        <v>140000</v>
      </c>
      <c r="B242">
        <f t="shared" si="191"/>
        <v>140</v>
      </c>
      <c r="C242">
        <f t="shared" si="159"/>
        <v>8.7657219971309495</v>
      </c>
      <c r="D242">
        <f t="shared" si="160"/>
        <v>1.4564666832449091</v>
      </c>
      <c r="F242">
        <f t="shared" si="161"/>
        <v>2.5982472266061968E-4</v>
      </c>
      <c r="G242">
        <f t="shared" si="162"/>
        <v>6.6341305070883464E-3</v>
      </c>
      <c r="H242">
        <f t="shared" si="163"/>
        <v>-3.1349585194929119</v>
      </c>
      <c r="J242">
        <f t="shared" si="164"/>
        <v>15</v>
      </c>
      <c r="M242">
        <f t="shared" si="165"/>
        <v>2.4096422556784396E-2</v>
      </c>
      <c r="N242">
        <f t="shared" si="166"/>
        <v>-1.5707963250000001</v>
      </c>
      <c r="O242">
        <f t="shared" si="167"/>
        <v>41.496153684146449</v>
      </c>
      <c r="P242">
        <f t="shared" si="168"/>
        <v>1.5466953746081167</v>
      </c>
      <c r="Q242">
        <f t="shared" si="169"/>
        <v>57.484764465253946</v>
      </c>
      <c r="R242">
        <f t="shared" si="170"/>
        <v>1.5533995356194523</v>
      </c>
      <c r="S242">
        <f t="shared" si="171"/>
        <v>0.18797245670579532</v>
      </c>
      <c r="T242">
        <f t="shared" si="172"/>
        <v>-1.3816989313134669</v>
      </c>
      <c r="U242">
        <f t="shared" si="173"/>
        <v>0.99987476729118063</v>
      </c>
      <c r="V242">
        <f t="shared" si="174"/>
        <v>-1.5826264422064001E-2</v>
      </c>
      <c r="X242">
        <f t="shared" si="192"/>
        <v>-8.6577515858095619</v>
      </c>
      <c r="Y242">
        <f t="shared" si="175"/>
        <v>-88.620439195410526</v>
      </c>
      <c r="Z242">
        <f t="shared" si="193"/>
        <v>91.379560804589474</v>
      </c>
      <c r="AC242">
        <v>1</v>
      </c>
      <c r="AD242">
        <f t="shared" si="176"/>
        <v>41.484102624720002</v>
      </c>
      <c r="AE242">
        <f t="shared" si="177"/>
        <v>-3.64913225313465E-5</v>
      </c>
      <c r="AF242">
        <f t="shared" si="178"/>
        <v>2.3055520139820002E-3</v>
      </c>
      <c r="AG242">
        <f t="shared" si="194"/>
        <v>17981.762748763209</v>
      </c>
      <c r="AH242">
        <f t="shared" si="195"/>
        <v>-718.34350043000165</v>
      </c>
      <c r="AJ242">
        <f t="shared" si="179"/>
        <v>18000</v>
      </c>
      <c r="AK242">
        <f t="shared" si="180"/>
        <v>94051.744118639996</v>
      </c>
      <c r="AL242">
        <v>1</v>
      </c>
      <c r="AM242">
        <f t="shared" si="181"/>
        <v>57.476065850279994</v>
      </c>
      <c r="AN242">
        <f t="shared" si="196"/>
        <v>1641.3155642033591</v>
      </c>
      <c r="AO242">
        <f t="shared" si="197"/>
        <v>-284.61733060174208</v>
      </c>
      <c r="AQ242">
        <f t="shared" si="182"/>
        <v>0.12754939350263389</v>
      </c>
      <c r="AR242">
        <f t="shared" si="183"/>
        <v>-35.713830180737489</v>
      </c>
      <c r="AT242">
        <f t="shared" si="209"/>
        <v>-23361.234853080605</v>
      </c>
      <c r="AU242">
        <f t="shared" si="210"/>
        <v>-642289.24543744698</v>
      </c>
      <c r="AV242">
        <f t="shared" si="198"/>
        <v>-1.607152130016841</v>
      </c>
      <c r="AW242">
        <f t="shared" si="199"/>
        <v>32056.696181115243</v>
      </c>
      <c r="AX242">
        <f t="shared" si="200"/>
        <v>-64467.098826920723</v>
      </c>
      <c r="AY242">
        <f t="shared" si="208"/>
        <v>-1.1093457730879932</v>
      </c>
      <c r="BA242">
        <f t="shared" si="184"/>
        <v>8.9268938164694696</v>
      </c>
      <c r="BB242">
        <f t="shared" si="201"/>
        <v>19.014007379255332</v>
      </c>
      <c r="BC242">
        <f t="shared" si="202"/>
        <v>-0.49780635692884778</v>
      </c>
      <c r="BD242">
        <f t="shared" si="185"/>
        <v>-208.5222032993974</v>
      </c>
      <c r="BF242">
        <f t="shared" si="186"/>
        <v>-10.314804132138434</v>
      </c>
      <c r="BG242">
        <f t="shared" si="187"/>
        <v>-124.69270157346244</v>
      </c>
      <c r="BH242">
        <f t="shared" si="203"/>
        <v>55.307298426537557</v>
      </c>
      <c r="BI242">
        <f t="shared" si="204"/>
        <v>55.307298426537557</v>
      </c>
      <c r="BJ242">
        <f t="shared" si="188"/>
        <v>0</v>
      </c>
      <c r="BK242">
        <f t="shared" si="205"/>
        <v>0</v>
      </c>
      <c r="BM242">
        <f t="shared" si="206"/>
        <v>-29.328811511393766</v>
      </c>
      <c r="BN242">
        <f t="shared" si="189"/>
        <v>-96.170498274065054</v>
      </c>
      <c r="BQ242" s="66">
        <f t="shared" si="207"/>
        <v>35.915968179540471</v>
      </c>
      <c r="BR242" s="71"/>
      <c r="BS242" s="71"/>
      <c r="BT242" s="71">
        <v>20892.960999999999</v>
      </c>
      <c r="BU242" s="71">
        <v>-3.5620099999999999</v>
      </c>
      <c r="BV242" s="71">
        <v>-172.084</v>
      </c>
      <c r="BY242" s="71"/>
      <c r="BZ242" s="71"/>
      <c r="CA242" s="71"/>
      <c r="CC242" s="71"/>
    </row>
    <row r="243" spans="1:81" x14ac:dyDescent="0.2">
      <c r="A243">
        <f t="shared" si="211"/>
        <v>145000</v>
      </c>
      <c r="B243">
        <f t="shared" si="191"/>
        <v>145</v>
      </c>
      <c r="C243">
        <f t="shared" si="159"/>
        <v>9.074778548498255</v>
      </c>
      <c r="D243">
        <f t="shared" si="160"/>
        <v>1.4603765543870475</v>
      </c>
      <c r="F243">
        <f t="shared" si="161"/>
        <v>2.422107834774366E-4</v>
      </c>
      <c r="G243">
        <f t="shared" si="162"/>
        <v>6.4052600031393432E-3</v>
      </c>
      <c r="H243">
        <f t="shared" si="163"/>
        <v>-3.1351873899968608</v>
      </c>
      <c r="J243">
        <f t="shared" si="164"/>
        <v>15</v>
      </c>
      <c r="M243">
        <f t="shared" si="165"/>
        <v>2.3265511434136656E-2</v>
      </c>
      <c r="N243">
        <f t="shared" si="166"/>
        <v>-1.5707963250000001</v>
      </c>
      <c r="O243">
        <f t="shared" si="167"/>
        <v>42.977313338627518</v>
      </c>
      <c r="P243">
        <f t="shared" si="168"/>
        <v>1.547526136587472</v>
      </c>
      <c r="Q243">
        <f t="shared" si="169"/>
        <v>59.537181193592076</v>
      </c>
      <c r="R243">
        <f t="shared" si="170"/>
        <v>1.5539993101274308</v>
      </c>
      <c r="S243">
        <f t="shared" si="171"/>
        <v>0.181708354877475</v>
      </c>
      <c r="T243">
        <f t="shared" si="172"/>
        <v>-1.3880728771958533</v>
      </c>
      <c r="U243">
        <f t="shared" si="173"/>
        <v>0.9998656641966932</v>
      </c>
      <c r="V243">
        <f t="shared" si="174"/>
        <v>-1.6391388659859642E-2</v>
      </c>
      <c r="X243">
        <f t="shared" si="192"/>
        <v>-8.9564508774620926</v>
      </c>
      <c r="Y243">
        <f t="shared" si="175"/>
        <v>-88.725149123045014</v>
      </c>
      <c r="Z243">
        <f t="shared" si="193"/>
        <v>91.274850876954986</v>
      </c>
      <c r="AC243">
        <v>1</v>
      </c>
      <c r="AD243">
        <f t="shared" si="176"/>
        <v>42.965677718460007</v>
      </c>
      <c r="AE243">
        <f t="shared" si="177"/>
        <v>-3.9144390623548993E-5</v>
      </c>
      <c r="AF243">
        <f t="shared" si="178"/>
        <v>2.3878931573385002E-3</v>
      </c>
      <c r="AG243">
        <f t="shared" si="194"/>
        <v>17981.435329879216</v>
      </c>
      <c r="AH243">
        <f t="shared" si="195"/>
        <v>-713.54630054888219</v>
      </c>
      <c r="AJ243">
        <f t="shared" si="179"/>
        <v>18000</v>
      </c>
      <c r="AK243">
        <f t="shared" si="180"/>
        <v>97410.734980019988</v>
      </c>
      <c r="AL243">
        <v>1</v>
      </c>
      <c r="AM243">
        <f t="shared" si="181"/>
        <v>59.528782487790004</v>
      </c>
      <c r="AN243">
        <f t="shared" si="196"/>
        <v>1640.9800347650541</v>
      </c>
      <c r="AO243">
        <f t="shared" si="197"/>
        <v>-274.80857631500123</v>
      </c>
      <c r="AQ243">
        <f t="shared" si="182"/>
        <v>0.11890465036087561</v>
      </c>
      <c r="AR243">
        <f t="shared" si="183"/>
        <v>-34.482348604653929</v>
      </c>
      <c r="AT243">
        <f t="shared" si="209"/>
        <v>-22466.676000201736</v>
      </c>
      <c r="AU243">
        <f t="shared" si="210"/>
        <v>-620126.96543031849</v>
      </c>
      <c r="AV243">
        <f t="shared" si="198"/>
        <v>-1.6070096434673782</v>
      </c>
      <c r="AW243">
        <f t="shared" si="199"/>
        <v>32731.904631897381</v>
      </c>
      <c r="AX243">
        <f t="shared" si="200"/>
        <v>-62275.046412012023</v>
      </c>
      <c r="AY243">
        <f t="shared" si="208"/>
        <v>-1.0868773192506556</v>
      </c>
      <c r="BA243">
        <f t="shared" si="184"/>
        <v>8.8202763927127279</v>
      </c>
      <c r="BB243">
        <f t="shared" si="201"/>
        <v>18.909643888462316</v>
      </c>
      <c r="BC243">
        <f t="shared" si="202"/>
        <v>-0.52013232421672262</v>
      </c>
      <c r="BD243">
        <f t="shared" si="185"/>
        <v>-209.80138700000143</v>
      </c>
      <c r="BF243">
        <f t="shared" si="186"/>
        <v>-10.727940725492759</v>
      </c>
      <c r="BG243">
        <f t="shared" si="187"/>
        <v>-125.76097947287228</v>
      </c>
      <c r="BH243">
        <f t="shared" si="203"/>
        <v>54.239020527127721</v>
      </c>
      <c r="BI243">
        <f t="shared" si="204"/>
        <v>54.239020527127721</v>
      </c>
      <c r="BJ243">
        <f t="shared" si="188"/>
        <v>0</v>
      </c>
      <c r="BK243">
        <f t="shared" si="205"/>
        <v>0</v>
      </c>
      <c r="BM243">
        <f t="shared" si="206"/>
        <v>-29.637584613955074</v>
      </c>
      <c r="BN243">
        <f t="shared" si="189"/>
        <v>-95.959592472870838</v>
      </c>
      <c r="BQ243" s="66">
        <f t="shared" si="207"/>
        <v>35.811604688747451</v>
      </c>
      <c r="BR243" s="71"/>
      <c r="BS243" s="71"/>
      <c r="BT243" s="71">
        <v>21379.620999999999</v>
      </c>
      <c r="BU243" s="71">
        <v>-3.5589</v>
      </c>
      <c r="BV243" s="71">
        <v>-170.62899999999999</v>
      </c>
      <c r="BY243" s="71"/>
      <c r="BZ243" s="71"/>
      <c r="CA243" s="71"/>
      <c r="CC243" s="71"/>
    </row>
    <row r="244" spans="1:81" x14ac:dyDescent="0.2">
      <c r="A244">
        <f t="shared" si="211"/>
        <v>150000</v>
      </c>
      <c r="B244">
        <f t="shared" si="191"/>
        <v>150</v>
      </c>
      <c r="C244">
        <f t="shared" si="159"/>
        <v>9.3839646878390788</v>
      </c>
      <c r="D244">
        <f t="shared" si="160"/>
        <v>1.4640288307424687</v>
      </c>
      <c r="F244">
        <f t="shared" si="161"/>
        <v>2.2632920126417749E-4</v>
      </c>
      <c r="G244">
        <f t="shared" si="162"/>
        <v>6.1916577419321456E-3</v>
      </c>
      <c r="H244">
        <f t="shared" si="163"/>
        <v>-3.1354009922580679</v>
      </c>
      <c r="J244">
        <f t="shared" si="164"/>
        <v>15</v>
      </c>
      <c r="M244">
        <f t="shared" si="165"/>
        <v>2.2489994386332101E-2</v>
      </c>
      <c r="N244">
        <f t="shared" si="166"/>
        <v>-1.5707963250000001</v>
      </c>
      <c r="O244">
        <f t="shared" si="167"/>
        <v>44.458500678178758</v>
      </c>
      <c r="P244">
        <f t="shared" si="168"/>
        <v>1.5483015434440588</v>
      </c>
      <c r="Q244">
        <f t="shared" si="169"/>
        <v>61.58961791178222</v>
      </c>
      <c r="R244">
        <f t="shared" si="170"/>
        <v>1.5545591105812415</v>
      </c>
      <c r="S244">
        <f t="shared" si="171"/>
        <v>0.17584181836101592</v>
      </c>
      <c r="T244">
        <f t="shared" si="172"/>
        <v>-1.3940354810038995</v>
      </c>
      <c r="U244">
        <f t="shared" si="173"/>
        <v>0.99985624195724543</v>
      </c>
      <c r="V244">
        <f t="shared" si="174"/>
        <v>-1.695650242722771E-2</v>
      </c>
      <c r="X244">
        <f t="shared" si="192"/>
        <v>-9.2454077551534137</v>
      </c>
      <c r="Y244">
        <f t="shared" si="175"/>
        <v>-88.825636533704227</v>
      </c>
      <c r="Z244">
        <f t="shared" si="193"/>
        <v>91.174363466295773</v>
      </c>
      <c r="AC244">
        <v>1</v>
      </c>
      <c r="AD244">
        <f t="shared" si="176"/>
        <v>44.447252812200006</v>
      </c>
      <c r="AE244">
        <f t="shared" si="177"/>
        <v>-4.1890548824249807E-5</v>
      </c>
      <c r="AF244">
        <f t="shared" si="178"/>
        <v>2.4702343006950001E-3</v>
      </c>
      <c r="AG244">
        <f t="shared" si="194"/>
        <v>17981.096435171523</v>
      </c>
      <c r="AH244">
        <f t="shared" si="195"/>
        <v>-709.745629245705</v>
      </c>
      <c r="AJ244">
        <f t="shared" si="179"/>
        <v>18000</v>
      </c>
      <c r="AK244">
        <f t="shared" si="180"/>
        <v>100769.7258414</v>
      </c>
      <c r="AL244">
        <v>1</v>
      </c>
      <c r="AM244">
        <f t="shared" si="181"/>
        <v>61.581499125299992</v>
      </c>
      <c r="AN244">
        <f t="shared" si="196"/>
        <v>1640.6774839838693</v>
      </c>
      <c r="AO244">
        <f t="shared" si="197"/>
        <v>-265.6532034520593</v>
      </c>
      <c r="AQ244">
        <f t="shared" si="182"/>
        <v>0.11110987655692714</v>
      </c>
      <c r="AR244">
        <f t="shared" si="183"/>
        <v>-33.332962967078146</v>
      </c>
      <c r="AT244">
        <f t="shared" si="209"/>
        <v>-21660.047370422548</v>
      </c>
      <c r="AU244">
        <f t="shared" si="210"/>
        <v>-599442.08133028552</v>
      </c>
      <c r="AV244">
        <f t="shared" si="198"/>
        <v>-1.6069142915852255</v>
      </c>
      <c r="AW244">
        <f t="shared" si="199"/>
        <v>33340.656307681049</v>
      </c>
      <c r="AX244">
        <f t="shared" si="200"/>
        <v>-60231.97365934313</v>
      </c>
      <c r="AY244">
        <f t="shared" si="208"/>
        <v>-1.0652412401241313</v>
      </c>
      <c r="BA244">
        <f t="shared" si="184"/>
        <v>8.7129405951912027</v>
      </c>
      <c r="BB244">
        <f t="shared" si="201"/>
        <v>18.803295060507946</v>
      </c>
      <c r="BC244">
        <f t="shared" si="202"/>
        <v>-0.54167305146109412</v>
      </c>
      <c r="BD244">
        <f t="shared" si="185"/>
        <v>-211.03557976015668</v>
      </c>
      <c r="BF244">
        <f t="shared" si="186"/>
        <v>-11.132340646186897</v>
      </c>
      <c r="BG244">
        <f t="shared" si="187"/>
        <v>-126.79815072008293</v>
      </c>
      <c r="BH244">
        <f t="shared" si="203"/>
        <v>53.20184927991707</v>
      </c>
      <c r="BI244">
        <f t="shared" si="204"/>
        <v>53.20184927991707</v>
      </c>
      <c r="BJ244">
        <f t="shared" si="188"/>
        <v>0</v>
      </c>
      <c r="BK244">
        <f t="shared" si="205"/>
        <v>0</v>
      </c>
      <c r="BM244">
        <f t="shared" si="206"/>
        <v>-29.935635706694846</v>
      </c>
      <c r="BN244">
        <f t="shared" si="189"/>
        <v>-95.762570959926279</v>
      </c>
      <c r="BQ244" s="66">
        <f t="shared" si="207"/>
        <v>35.705255860793081</v>
      </c>
      <c r="BR244" s="71"/>
      <c r="BS244" s="71"/>
      <c r="BT244" s="71">
        <v>21877.616000000002</v>
      </c>
      <c r="BU244" s="71">
        <v>-3.49654</v>
      </c>
      <c r="BV244" s="71">
        <v>-169.465</v>
      </c>
      <c r="BY244" s="71"/>
      <c r="BZ244" s="71"/>
      <c r="CA244" s="71"/>
      <c r="CC244" s="71"/>
    </row>
    <row r="245" spans="1:81" x14ac:dyDescent="0.2">
      <c r="A245">
        <f t="shared" si="211"/>
        <v>155000</v>
      </c>
      <c r="B245">
        <f t="shared" si="191"/>
        <v>155</v>
      </c>
      <c r="C245">
        <f t="shared" si="159"/>
        <v>9.6932680147598074</v>
      </c>
      <c r="D245">
        <f t="shared" si="160"/>
        <v>1.4674480687094591</v>
      </c>
      <c r="F245">
        <f t="shared" si="161"/>
        <v>2.1196001861407078E-4</v>
      </c>
      <c r="G245">
        <f t="shared" si="162"/>
        <v>5.9918448971610248E-3</v>
      </c>
      <c r="H245">
        <f t="shared" si="163"/>
        <v>-3.1356008051028392</v>
      </c>
      <c r="J245">
        <f t="shared" si="164"/>
        <v>15</v>
      </c>
      <c r="M245">
        <f t="shared" si="165"/>
        <v>2.1764510696450422E-2</v>
      </c>
      <c r="N245">
        <f t="shared" si="166"/>
        <v>-1.5707963250000001</v>
      </c>
      <c r="O245">
        <f t="shared" si="167"/>
        <v>45.93971302493577</v>
      </c>
      <c r="P245">
        <f t="shared" si="168"/>
        <v>1.5490269485637111</v>
      </c>
      <c r="Q245">
        <f t="shared" si="169"/>
        <v>63.642072685825191</v>
      </c>
      <c r="R245">
        <f t="shared" si="170"/>
        <v>1.5550828040976046</v>
      </c>
      <c r="S245">
        <f t="shared" si="171"/>
        <v>0.17033674249284023</v>
      </c>
      <c r="T245">
        <f t="shared" si="172"/>
        <v>-1.3996249310896085</v>
      </c>
      <c r="U245">
        <f t="shared" si="173"/>
        <v>0.9998465005999142</v>
      </c>
      <c r="V245">
        <f t="shared" si="174"/>
        <v>-1.7521605363527253E-2</v>
      </c>
      <c r="X245">
        <f t="shared" si="192"/>
        <v>-9.5252280279277954</v>
      </c>
      <c r="Y245">
        <f t="shared" si="175"/>
        <v>-88.922238894764405</v>
      </c>
      <c r="Z245">
        <f t="shared" si="193"/>
        <v>91.077761105235595</v>
      </c>
      <c r="AC245">
        <v>1</v>
      </c>
      <c r="AD245">
        <f t="shared" si="176"/>
        <v>45.928827905940004</v>
      </c>
      <c r="AE245">
        <f t="shared" si="177"/>
        <v>-4.4729797133448969E-5</v>
      </c>
      <c r="AF245">
        <f t="shared" si="178"/>
        <v>2.5525754440515001E-3</v>
      </c>
      <c r="AG245">
        <f t="shared" si="194"/>
        <v>17980.7460659385</v>
      </c>
      <c r="AH245">
        <f t="shared" si="195"/>
        <v>-706.84497417780813</v>
      </c>
      <c r="AJ245">
        <f t="shared" si="179"/>
        <v>18000</v>
      </c>
      <c r="AK245">
        <f t="shared" si="180"/>
        <v>104128.71670278</v>
      </c>
      <c r="AL245">
        <v>1</v>
      </c>
      <c r="AM245">
        <f t="shared" si="181"/>
        <v>63.634215762810001</v>
      </c>
      <c r="AN245">
        <f t="shared" si="196"/>
        <v>1640.4037277550863</v>
      </c>
      <c r="AO245">
        <f t="shared" si="197"/>
        <v>-257.08804730498491</v>
      </c>
      <c r="AQ245">
        <f t="shared" si="182"/>
        <v>0.10405718983153141</v>
      </c>
      <c r="AR245">
        <f t="shared" si="183"/>
        <v>-32.257728847774736</v>
      </c>
      <c r="AT245">
        <f t="shared" si="209"/>
        <v>-20930.187607744148</v>
      </c>
      <c r="AU245">
        <f t="shared" si="210"/>
        <v>-580091.58337739587</v>
      </c>
      <c r="AV245">
        <f t="shared" si="198"/>
        <v>-1.606861515126988</v>
      </c>
      <c r="AW245">
        <f t="shared" si="199"/>
        <v>33891.378539885169</v>
      </c>
      <c r="AX245">
        <f t="shared" si="200"/>
        <v>-58323.300635042127</v>
      </c>
      <c r="AY245">
        <f t="shared" si="208"/>
        <v>-1.044393555153587</v>
      </c>
      <c r="BA245">
        <f t="shared" si="184"/>
        <v>8.6052254626610196</v>
      </c>
      <c r="BB245">
        <f t="shared" si="201"/>
        <v>18.69524507236931</v>
      </c>
      <c r="BC245">
        <f t="shared" si="202"/>
        <v>-0.56246795997340104</v>
      </c>
      <c r="BD245">
        <f t="shared" si="185"/>
        <v>-212.22704025463395</v>
      </c>
      <c r="BF245">
        <f t="shared" si="186"/>
        <v>-11.528446347646703</v>
      </c>
      <c r="BG245">
        <f t="shared" si="187"/>
        <v>-127.80515174238791</v>
      </c>
      <c r="BH245">
        <f t="shared" si="203"/>
        <v>52.194848257612094</v>
      </c>
      <c r="BI245">
        <f t="shared" si="204"/>
        <v>52.194848257612094</v>
      </c>
      <c r="BJ245">
        <f t="shared" si="188"/>
        <v>0</v>
      </c>
      <c r="BK245">
        <f t="shared" si="205"/>
        <v>0</v>
      </c>
      <c r="BM245">
        <f t="shared" si="206"/>
        <v>-30.22369142001601</v>
      </c>
      <c r="BN245">
        <f t="shared" si="189"/>
        <v>-95.578111487753958</v>
      </c>
      <c r="BQ245" s="66">
        <f t="shared" si="207"/>
        <v>35.597205872654442</v>
      </c>
      <c r="BR245" s="71"/>
      <c r="BS245" s="71"/>
      <c r="BT245" s="71">
        <v>22387.210999999999</v>
      </c>
      <c r="BU245" s="71">
        <v>-3.4356</v>
      </c>
      <c r="BV245" s="71">
        <v>-168.34299999999999</v>
      </c>
      <c r="BY245" s="71"/>
      <c r="BZ245" s="71"/>
      <c r="CA245" s="71"/>
      <c r="CC245" s="71"/>
    </row>
    <row r="246" spans="1:81" x14ac:dyDescent="0.2">
      <c r="A246">
        <f t="shared" si="211"/>
        <v>160000</v>
      </c>
      <c r="B246">
        <f t="shared" si="191"/>
        <v>160</v>
      </c>
      <c r="C246">
        <f t="shared" si="159"/>
        <v>10.002677658224735</v>
      </c>
      <c r="D246">
        <f t="shared" si="160"/>
        <v>1.4706558098706428</v>
      </c>
      <c r="F246">
        <f t="shared" si="161"/>
        <v>1.9891711342072884E-4</v>
      </c>
      <c r="G246">
        <f t="shared" si="162"/>
        <v>5.8045276827403975E-3</v>
      </c>
      <c r="H246">
        <f t="shared" si="163"/>
        <v>-3.1357881223172597</v>
      </c>
      <c r="J246">
        <f t="shared" si="164"/>
        <v>15</v>
      </c>
      <c r="M246">
        <f t="shared" si="165"/>
        <v>2.1084369737186345E-2</v>
      </c>
      <c r="N246">
        <f t="shared" si="166"/>
        <v>-1.5707963250000001</v>
      </c>
      <c r="O246">
        <f t="shared" si="167"/>
        <v>47.420948035568273</v>
      </c>
      <c r="P246">
        <f t="shared" si="168"/>
        <v>1.5497070366892687</v>
      </c>
      <c r="Q246">
        <f t="shared" si="169"/>
        <v>65.694543823396856</v>
      </c>
      <c r="R246">
        <f t="shared" si="170"/>
        <v>1.5555737746032205</v>
      </c>
      <c r="S246">
        <f t="shared" si="171"/>
        <v>0.16516119796893766</v>
      </c>
      <c r="T246">
        <f t="shared" si="172"/>
        <v>-1.4048748751275841</v>
      </c>
      <c r="U246">
        <f t="shared" si="173"/>
        <v>0.99983644015269069</v>
      </c>
      <c r="V246">
        <f t="shared" si="174"/>
        <v>-1.8086697108158814E-2</v>
      </c>
      <c r="X246">
        <f t="shared" si="192"/>
        <v>-9.7964635353251275</v>
      </c>
      <c r="Y246">
        <f t="shared" si="175"/>
        <v>-89.015261641313245</v>
      </c>
      <c r="Z246">
        <f t="shared" si="193"/>
        <v>90.984738358686755</v>
      </c>
      <c r="AC246">
        <v>1</v>
      </c>
      <c r="AD246">
        <f t="shared" si="176"/>
        <v>47.410402999680002</v>
      </c>
      <c r="AE246">
        <f t="shared" si="177"/>
        <v>-4.7662135551146451E-5</v>
      </c>
      <c r="AF246">
        <f t="shared" si="178"/>
        <v>2.634916587408E-3</v>
      </c>
      <c r="AG246">
        <f t="shared" si="194"/>
        <v>17980.384223522393</v>
      </c>
      <c r="AH246">
        <f t="shared" si="195"/>
        <v>-704.75988461932945</v>
      </c>
      <c r="AJ246">
        <f t="shared" si="179"/>
        <v>18000</v>
      </c>
      <c r="AK246">
        <f t="shared" si="180"/>
        <v>107487.70756415999</v>
      </c>
      <c r="AL246">
        <v>1</v>
      </c>
      <c r="AM246">
        <f t="shared" si="181"/>
        <v>65.686932400320003</v>
      </c>
      <c r="AN246">
        <f t="shared" si="196"/>
        <v>1640.1552250383311</v>
      </c>
      <c r="AO246">
        <f t="shared" si="197"/>
        <v>-249.05782896450148</v>
      </c>
      <c r="AQ246">
        <f t="shared" si="182"/>
        <v>9.7655296334996727E-2</v>
      </c>
      <c r="AR246">
        <f t="shared" si="183"/>
        <v>-31.249694827198955</v>
      </c>
      <c r="AT246">
        <f t="shared" si="209"/>
        <v>-20267.651571240815</v>
      </c>
      <c r="AU246">
        <f t="shared" si="210"/>
        <v>-561950.34339623491</v>
      </c>
      <c r="AV246">
        <f t="shared" si="198"/>
        <v>-1.6068473241811498</v>
      </c>
      <c r="AW246">
        <f t="shared" si="199"/>
        <v>34391.203617355954</v>
      </c>
      <c r="AX246">
        <f t="shared" si="200"/>
        <v>-56536.294067745177</v>
      </c>
      <c r="AY246">
        <f t="shared" si="208"/>
        <v>-1.024293954874206</v>
      </c>
      <c r="BA246">
        <f t="shared" si="184"/>
        <v>8.4974266189890244</v>
      </c>
      <c r="BB246">
        <f t="shared" si="201"/>
        <v>18.585748456909542</v>
      </c>
      <c r="BC246">
        <f t="shared" si="202"/>
        <v>-0.58255336930694379</v>
      </c>
      <c r="BD246">
        <f t="shared" si="185"/>
        <v>-213.37784944055363</v>
      </c>
      <c r="BF246">
        <f t="shared" si="186"/>
        <v>-11.916657921810042</v>
      </c>
      <c r="BG246">
        <f t="shared" si="187"/>
        <v>-128.78290338362007</v>
      </c>
      <c r="BH246">
        <f t="shared" si="203"/>
        <v>51.217096616379933</v>
      </c>
      <c r="BI246">
        <f t="shared" si="204"/>
        <v>51.217096616379933</v>
      </c>
      <c r="BJ246">
        <f t="shared" si="188"/>
        <v>0</v>
      </c>
      <c r="BK246">
        <f t="shared" si="205"/>
        <v>0</v>
      </c>
      <c r="BM246">
        <f t="shared" si="206"/>
        <v>-30.502406378719584</v>
      </c>
      <c r="BN246">
        <f t="shared" si="189"/>
        <v>-95.405053943066434</v>
      </c>
      <c r="BQ246" s="66">
        <f t="shared" si="207"/>
        <v>35.48770925719468</v>
      </c>
      <c r="BR246" s="71"/>
      <c r="BS246" s="71"/>
      <c r="BT246" s="71">
        <v>22908.677</v>
      </c>
      <c r="BU246" s="71">
        <v>-3.37297</v>
      </c>
      <c r="BV246" s="71">
        <v>-167.03899999999999</v>
      </c>
      <c r="BY246" s="71"/>
      <c r="BZ246" s="71"/>
      <c r="CA246" s="71"/>
      <c r="CC246" s="71"/>
    </row>
    <row r="247" spans="1:81" x14ac:dyDescent="0.2">
      <c r="A247">
        <f t="shared" si="211"/>
        <v>165000</v>
      </c>
      <c r="B247">
        <f t="shared" si="191"/>
        <v>165</v>
      </c>
      <c r="C247">
        <f t="shared" si="159"/>
        <v>10.312184048384662</v>
      </c>
      <c r="D247">
        <f t="shared" si="160"/>
        <v>1.4736710284162768</v>
      </c>
      <c r="F247">
        <f t="shared" si="161"/>
        <v>1.8704213968234325E-4</v>
      </c>
      <c r="G247">
        <f t="shared" si="162"/>
        <v>5.6285692839470698E-3</v>
      </c>
      <c r="H247">
        <f t="shared" si="163"/>
        <v>-3.1359640807160529</v>
      </c>
      <c r="J247">
        <f t="shared" si="164"/>
        <v>15</v>
      </c>
      <c r="M247">
        <f t="shared" si="165"/>
        <v>2.0445449442120091E-2</v>
      </c>
      <c r="N247">
        <f t="shared" si="166"/>
        <v>-1.5707963250000001</v>
      </c>
      <c r="O247">
        <f t="shared" si="167"/>
        <v>48.902203650627669</v>
      </c>
      <c r="P247">
        <f t="shared" si="168"/>
        <v>1.5503459251381415</v>
      </c>
      <c r="Q247">
        <f t="shared" si="169"/>
        <v>67.747029837243673</v>
      </c>
      <c r="R247">
        <f t="shared" si="170"/>
        <v>1.5560349960107505</v>
      </c>
      <c r="S247">
        <f t="shared" si="171"/>
        <v>0.16028685399701401</v>
      </c>
      <c r="T247">
        <f t="shared" si="172"/>
        <v>-1.4098150692307998</v>
      </c>
      <c r="U247">
        <f t="shared" si="173"/>
        <v>0.99982606064448221</v>
      </c>
      <c r="V247">
        <f t="shared" si="174"/>
        <v>-1.865177730056581E-2</v>
      </c>
      <c r="X247">
        <f t="shared" si="192"/>
        <v>-10.059618289890246</v>
      </c>
      <c r="Y247">
        <f t="shared" si="175"/>
        <v>-89.104981348490526</v>
      </c>
      <c r="Z247">
        <f t="shared" si="193"/>
        <v>90.895018651509474</v>
      </c>
      <c r="AC247">
        <v>1</v>
      </c>
      <c r="AD247">
        <f t="shared" si="176"/>
        <v>48.891978093420008</v>
      </c>
      <c r="AE247">
        <f t="shared" si="177"/>
        <v>-5.0687564077342274E-5</v>
      </c>
      <c r="AF247">
        <f t="shared" si="178"/>
        <v>2.7172577307645E-3</v>
      </c>
      <c r="AG247">
        <f t="shared" si="194"/>
        <v>17980.010909309316</v>
      </c>
      <c r="AH247">
        <f t="shared" si="195"/>
        <v>-703.41614394419912</v>
      </c>
      <c r="AJ247">
        <f t="shared" si="179"/>
        <v>18000</v>
      </c>
      <c r="AK247">
        <f t="shared" si="180"/>
        <v>110846.69842554</v>
      </c>
      <c r="AL247">
        <v>1</v>
      </c>
      <c r="AM247">
        <f t="shared" si="181"/>
        <v>67.739649037829992</v>
      </c>
      <c r="AN247">
        <f t="shared" si="196"/>
        <v>1639.928962810272</v>
      </c>
      <c r="AO247">
        <f t="shared" si="197"/>
        <v>-241.51396220038365</v>
      </c>
      <c r="AQ247">
        <f t="shared" si="182"/>
        <v>9.1826521335892239E-2</v>
      </c>
      <c r="AR247">
        <f t="shared" si="183"/>
        <v>-30.302752040844435</v>
      </c>
      <c r="AT247">
        <f t="shared" si="209"/>
        <v>-19664.403136084737</v>
      </c>
      <c r="AU247">
        <f t="shared" si="210"/>
        <v>-544908.40453402791</v>
      </c>
      <c r="AV247">
        <f t="shared" si="198"/>
        <v>-1.6068682119973547</v>
      </c>
      <c r="AW247">
        <f t="shared" si="199"/>
        <v>34846.200441388057</v>
      </c>
      <c r="AX247">
        <f t="shared" si="200"/>
        <v>-54859.783357177614</v>
      </c>
      <c r="AY247">
        <f t="shared" si="208"/>
        <v>-1.0049053136468138</v>
      </c>
      <c r="BA247">
        <f t="shared" si="184"/>
        <v>8.3898016104335777</v>
      </c>
      <c r="BB247">
        <f t="shared" si="201"/>
        <v>18.475033827986064</v>
      </c>
      <c r="BC247">
        <f t="shared" si="202"/>
        <v>-0.60196289835054095</v>
      </c>
      <c r="BD247">
        <f t="shared" si="185"/>
        <v>-214.48993353835908</v>
      </c>
      <c r="BF247">
        <f t="shared" si="186"/>
        <v>-12.297338639981355</v>
      </c>
      <c r="BG247">
        <f t="shared" si="187"/>
        <v>-129.73230985788595</v>
      </c>
      <c r="BH247">
        <f t="shared" si="203"/>
        <v>50.267690142114049</v>
      </c>
      <c r="BI247">
        <f t="shared" si="204"/>
        <v>50.267690142114049</v>
      </c>
      <c r="BJ247">
        <f t="shared" si="188"/>
        <v>0</v>
      </c>
      <c r="BK247">
        <f t="shared" si="205"/>
        <v>0</v>
      </c>
      <c r="BM247">
        <f t="shared" si="206"/>
        <v>-30.772372467967415</v>
      </c>
      <c r="BN247">
        <f t="shared" si="189"/>
        <v>-95.242376319526869</v>
      </c>
      <c r="BQ247" s="66">
        <f t="shared" si="207"/>
        <v>35.376994628271198</v>
      </c>
      <c r="BR247" s="71"/>
      <c r="BS247" s="71"/>
      <c r="BT247" s="71">
        <v>23442.288</v>
      </c>
      <c r="BU247" s="71">
        <v>-3.29522</v>
      </c>
      <c r="BV247" s="71">
        <v>-165.876</v>
      </c>
      <c r="BY247" s="71"/>
      <c r="BZ247" s="71"/>
      <c r="CA247" s="71"/>
      <c r="CC247" s="71"/>
    </row>
    <row r="248" spans="1:81" x14ac:dyDescent="0.2">
      <c r="A248">
        <f t="shared" si="211"/>
        <v>170000</v>
      </c>
      <c r="B248">
        <f t="shared" si="191"/>
        <v>170</v>
      </c>
      <c r="C248">
        <f t="shared" si="159"/>
        <v>10.621778727981386</v>
      </c>
      <c r="D248">
        <f t="shared" si="160"/>
        <v>1.4765105014255817</v>
      </c>
      <c r="F248">
        <f t="shared" si="161"/>
        <v>1.7619969751773735E-4</v>
      </c>
      <c r="G248">
        <f t="shared" si="162"/>
        <v>5.4629667482817834E-3</v>
      </c>
      <c r="H248">
        <f t="shared" si="163"/>
        <v>-3.1361296832517183</v>
      </c>
      <c r="J248">
        <f t="shared" si="164"/>
        <v>15</v>
      </c>
      <c r="M248">
        <f t="shared" si="165"/>
        <v>1.9844112693822444E-2</v>
      </c>
      <c r="N248">
        <f t="shared" si="166"/>
        <v>-1.5707963250000001</v>
      </c>
      <c r="O248">
        <f t="shared" si="167"/>
        <v>50.383478052826383</v>
      </c>
      <c r="P248">
        <f t="shared" si="168"/>
        <v>1.5509472471760424</v>
      </c>
      <c r="Q248">
        <f t="shared" si="169"/>
        <v>69.799529415035295</v>
      </c>
      <c r="R248">
        <f t="shared" si="170"/>
        <v>1.5564690924881985</v>
      </c>
      <c r="S248">
        <f t="shared" si="171"/>
        <v>0.1556884928537399</v>
      </c>
      <c r="T248">
        <f t="shared" si="172"/>
        <v>-1.4144719198422897</v>
      </c>
      <c r="U248">
        <f t="shared" si="173"/>
        <v>0.99981536210511124</v>
      </c>
      <c r="V248">
        <f t="shared" si="174"/>
        <v>-1.9216845580235911E-2</v>
      </c>
      <c r="X248">
        <f t="shared" si="192"/>
        <v>-10.315153779847595</v>
      </c>
      <c r="Y248">
        <f t="shared" si="175"/>
        <v>-89.191648657949273</v>
      </c>
      <c r="Z248">
        <f t="shared" si="193"/>
        <v>90.808351342050727</v>
      </c>
      <c r="AC248">
        <v>1</v>
      </c>
      <c r="AD248">
        <f t="shared" si="176"/>
        <v>50.373553187160006</v>
      </c>
      <c r="AE248">
        <f t="shared" si="177"/>
        <v>-5.3806082712036438E-5</v>
      </c>
      <c r="AF248">
        <f t="shared" si="178"/>
        <v>2.7995988741210003E-3</v>
      </c>
      <c r="AG248">
        <f t="shared" si="194"/>
        <v>17979.626124729253</v>
      </c>
      <c r="AH248">
        <f t="shared" si="195"/>
        <v>-702.74826461215412</v>
      </c>
      <c r="AJ248">
        <f t="shared" si="179"/>
        <v>18000</v>
      </c>
      <c r="AK248">
        <f t="shared" si="180"/>
        <v>114205.68928691999</v>
      </c>
      <c r="AL248">
        <v>1</v>
      </c>
      <c r="AM248">
        <f t="shared" si="181"/>
        <v>69.792365675339994</v>
      </c>
      <c r="AN248">
        <f t="shared" si="196"/>
        <v>1639.7223643318036</v>
      </c>
      <c r="AO248">
        <f t="shared" si="197"/>
        <v>-234.41357055831733</v>
      </c>
      <c r="AQ248">
        <f t="shared" si="182"/>
        <v>8.6504442003096857E-2</v>
      </c>
      <c r="AR248">
        <f t="shared" si="183"/>
        <v>-29.411510281052934</v>
      </c>
      <c r="AT248">
        <f t="shared" si="209"/>
        <v>-19113.570284288471</v>
      </c>
      <c r="AU248">
        <f t="shared" si="210"/>
        <v>-528868.74946346122</v>
      </c>
      <c r="AV248">
        <f t="shared" si="198"/>
        <v>-1.6069210840042554</v>
      </c>
      <c r="AW248">
        <f t="shared" si="199"/>
        <v>35261.559243153213</v>
      </c>
      <c r="AX248">
        <f t="shared" si="200"/>
        <v>-53283.927523781444</v>
      </c>
      <c r="AY248">
        <f t="shared" si="208"/>
        <v>-0.98619328759846026</v>
      </c>
      <c r="BA248">
        <f t="shared" si="184"/>
        <v>8.2825744594378303</v>
      </c>
      <c r="BB248">
        <f t="shared" si="201"/>
        <v>18.363306976628085</v>
      </c>
      <c r="BC248">
        <f t="shared" si="202"/>
        <v>-0.62072779640579512</v>
      </c>
      <c r="BD248">
        <f t="shared" si="185"/>
        <v>-215.56508300114692</v>
      </c>
      <c r="BF248">
        <f t="shared" si="186"/>
        <v>-12.670819671993254</v>
      </c>
      <c r="BG248">
        <f t="shared" si="187"/>
        <v>-130.65425782739453</v>
      </c>
      <c r="BH248">
        <f t="shared" si="203"/>
        <v>49.345742172605469</v>
      </c>
      <c r="BI248">
        <f t="shared" si="204"/>
        <v>49.345742172605469</v>
      </c>
      <c r="BJ248">
        <f t="shared" si="188"/>
        <v>0</v>
      </c>
      <c r="BK248">
        <f t="shared" si="205"/>
        <v>0</v>
      </c>
      <c r="BM248">
        <f t="shared" si="206"/>
        <v>-31.034126648621339</v>
      </c>
      <c r="BN248">
        <f t="shared" si="189"/>
        <v>-95.089174826247628</v>
      </c>
      <c r="BQ248" s="66">
        <f t="shared" si="207"/>
        <v>35.26526777691322</v>
      </c>
      <c r="BR248" s="71"/>
      <c r="BS248" s="71"/>
      <c r="BT248" s="71">
        <v>23988.329000000002</v>
      </c>
      <c r="BU248" s="71">
        <v>-3.2437399999999998</v>
      </c>
      <c r="BV248" s="71">
        <v>-164.703</v>
      </c>
      <c r="BY248" s="71"/>
      <c r="BZ248" s="71"/>
      <c r="CA248" s="71"/>
      <c r="CC248" s="71"/>
    </row>
    <row r="249" spans="1:81" x14ac:dyDescent="0.2">
      <c r="A249">
        <f t="shared" si="211"/>
        <v>175000</v>
      </c>
      <c r="B249">
        <f t="shared" si="191"/>
        <v>175</v>
      </c>
      <c r="C249">
        <f t="shared" si="159"/>
        <v>10.931454195561754</v>
      </c>
      <c r="D249">
        <f t="shared" si="160"/>
        <v>1.4791891170440303</v>
      </c>
      <c r="F249">
        <f t="shared" si="161"/>
        <v>1.6627345543493449E-4</v>
      </c>
      <c r="G249">
        <f t="shared" si="162"/>
        <v>5.3068318427072466E-3</v>
      </c>
      <c r="H249">
        <f t="shared" si="163"/>
        <v>-3.136285818157293</v>
      </c>
      <c r="J249">
        <f t="shared" si="164"/>
        <v>15</v>
      </c>
      <c r="M249">
        <f t="shared" si="165"/>
        <v>1.9277138045427515E-2</v>
      </c>
      <c r="N249">
        <f t="shared" si="166"/>
        <v>-1.5707963250000001</v>
      </c>
      <c r="O249">
        <f t="shared" si="167"/>
        <v>51.864769632464345</v>
      </c>
      <c r="P249">
        <f t="shared" si="168"/>
        <v>1.5515142211116979</v>
      </c>
      <c r="Q249">
        <f t="shared" si="169"/>
        <v>71.852041394383463</v>
      </c>
      <c r="R249">
        <f t="shared" si="170"/>
        <v>1.5568783884015325</v>
      </c>
      <c r="S249">
        <f t="shared" si="171"/>
        <v>0.15134359970688896</v>
      </c>
      <c r="T249">
        <f t="shared" si="172"/>
        <v>-1.4188689383184292</v>
      </c>
      <c r="U249">
        <f t="shared" si="173"/>
        <v>0.99980434456531475</v>
      </c>
      <c r="V249">
        <f t="shared" si="174"/>
        <v>-1.9781901586702413E-2</v>
      </c>
      <c r="X249">
        <f t="shared" si="192"/>
        <v>-10.56349356479333</v>
      </c>
      <c r="Y249">
        <f t="shared" si="175"/>
        <v>-89.275490942764165</v>
      </c>
      <c r="Z249">
        <f t="shared" si="193"/>
        <v>90.724509057235835</v>
      </c>
      <c r="AC249">
        <v>1</v>
      </c>
      <c r="AD249">
        <f t="shared" si="176"/>
        <v>51.855128280900004</v>
      </c>
      <c r="AE249">
        <f t="shared" si="177"/>
        <v>-5.7017691455228896E-5</v>
      </c>
      <c r="AF249">
        <f t="shared" si="178"/>
        <v>2.8819400174774999E-3</v>
      </c>
      <c r="AG249">
        <f t="shared" si="194"/>
        <v>17979.229871256022</v>
      </c>
      <c r="AH249">
        <f t="shared" si="195"/>
        <v>-702.69824115717279</v>
      </c>
      <c r="AJ249">
        <f t="shared" si="179"/>
        <v>18000</v>
      </c>
      <c r="AK249">
        <f t="shared" si="180"/>
        <v>117564.68014829999</v>
      </c>
      <c r="AL249">
        <v>1</v>
      </c>
      <c r="AM249">
        <f t="shared" si="181"/>
        <v>71.84508231285001</v>
      </c>
      <c r="AN249">
        <f t="shared" si="196"/>
        <v>1639.533215482654</v>
      </c>
      <c r="AO249">
        <f t="shared" si="197"/>
        <v>-227.71867270296323</v>
      </c>
      <c r="AQ249">
        <f t="shared" si="182"/>
        <v>8.1631986677659779E-2</v>
      </c>
      <c r="AR249">
        <f t="shared" si="183"/>
        <v>-28.571195337180921</v>
      </c>
      <c r="AT249">
        <f t="shared" si="209"/>
        <v>-18609.248457870097</v>
      </c>
      <c r="AU249">
        <f t="shared" si="210"/>
        <v>-513745.4513171945</v>
      </c>
      <c r="AV249">
        <f t="shared" si="198"/>
        <v>-1.6070031989821552</v>
      </c>
      <c r="AW249">
        <f t="shared" si="199"/>
        <v>35641.739925295282</v>
      </c>
      <c r="AX249">
        <f t="shared" si="200"/>
        <v>-51800.022730837547</v>
      </c>
      <c r="AY249">
        <f t="shared" si="208"/>
        <v>-0.96812598102602843</v>
      </c>
      <c r="BA249">
        <f t="shared" si="184"/>
        <v>8.175939584807324</v>
      </c>
      <c r="BB249">
        <f t="shared" si="201"/>
        <v>18.25075347263823</v>
      </c>
      <c r="BC249">
        <f t="shared" si="202"/>
        <v>-0.63887721795612673</v>
      </c>
      <c r="BD249">
        <f t="shared" si="185"/>
        <v>-216.60496825777295</v>
      </c>
      <c r="BF249">
        <f t="shared" si="186"/>
        <v>-13.03740411443092</v>
      </c>
      <c r="BG249">
        <f t="shared" si="187"/>
        <v>-131.54961558510459</v>
      </c>
      <c r="BH249">
        <f t="shared" si="203"/>
        <v>48.45038441489541</v>
      </c>
      <c r="BI249">
        <f t="shared" si="204"/>
        <v>48.45038441489541</v>
      </c>
      <c r="BJ249">
        <f t="shared" si="188"/>
        <v>0</v>
      </c>
      <c r="BK249">
        <f t="shared" si="205"/>
        <v>0</v>
      </c>
      <c r="BM249">
        <f t="shared" si="206"/>
        <v>-31.288157587069151</v>
      </c>
      <c r="BN249">
        <f t="shared" si="189"/>
        <v>-94.944647327331666</v>
      </c>
      <c r="BQ249" s="66">
        <f t="shared" si="207"/>
        <v>35.152714272923369</v>
      </c>
      <c r="BR249" s="71"/>
      <c r="BS249" s="71"/>
      <c r="BT249" s="71">
        <v>24547.089</v>
      </c>
      <c r="BU249" s="71">
        <v>-3.1709299999999998</v>
      </c>
      <c r="BV249" s="71">
        <v>-163.65100000000001</v>
      </c>
      <c r="BY249" s="71"/>
      <c r="BZ249" s="71"/>
      <c r="CA249" s="71"/>
      <c r="CC249" s="71"/>
    </row>
    <row r="250" spans="1:81" x14ac:dyDescent="0.2">
      <c r="A250">
        <f t="shared" si="211"/>
        <v>180000</v>
      </c>
      <c r="B250">
        <f t="shared" si="191"/>
        <v>180</v>
      </c>
      <c r="C250">
        <f t="shared" si="159"/>
        <v>11.241203774425564</v>
      </c>
      <c r="D250">
        <f t="shared" si="160"/>
        <v>1.4817201323446263</v>
      </c>
      <c r="F250">
        <f t="shared" si="161"/>
        <v>1.5716301617213003E-4</v>
      </c>
      <c r="G250">
        <f t="shared" si="162"/>
        <v>5.1593751049980501E-3</v>
      </c>
      <c r="H250">
        <f t="shared" si="163"/>
        <v>-3.1364332748950021</v>
      </c>
      <c r="J250">
        <f t="shared" si="164"/>
        <v>15</v>
      </c>
      <c r="M250">
        <f t="shared" si="165"/>
        <v>1.8741661988610086E-2</v>
      </c>
      <c r="N250">
        <f t="shared" si="166"/>
        <v>-1.5707963250000001</v>
      </c>
      <c r="O250">
        <f t="shared" si="167"/>
        <v>53.346076958613693</v>
      </c>
      <c r="P250">
        <f t="shared" si="168"/>
        <v>1.5520497078861144</v>
      </c>
      <c r="Q250">
        <f t="shared" si="169"/>
        <v>73.904564742022714</v>
      </c>
      <c r="R250">
        <f t="shared" si="170"/>
        <v>1.5572649499374236</v>
      </c>
      <c r="S250">
        <f t="shared" si="171"/>
        <v>0.14723201466834088</v>
      </c>
      <c r="T250">
        <f t="shared" si="172"/>
        <v>-1.4230271240420329</v>
      </c>
      <c r="U250">
        <f t="shared" si="173"/>
        <v>0.99979300805674487</v>
      </c>
      <c r="V250">
        <f t="shared" si="174"/>
        <v>-2.0346944959545633E-2</v>
      </c>
      <c r="X250">
        <f t="shared" si="192"/>
        <v>-10.80502727353023</v>
      </c>
      <c r="Y250">
        <f t="shared" si="175"/>
        <v>-89.356714713193298</v>
      </c>
      <c r="Z250">
        <f t="shared" si="193"/>
        <v>90.643285286806702</v>
      </c>
      <c r="AC250">
        <v>1</v>
      </c>
      <c r="AD250">
        <f t="shared" si="176"/>
        <v>53.33670337464001</v>
      </c>
      <c r="AE250">
        <f t="shared" si="177"/>
        <v>-6.0322390306919728E-5</v>
      </c>
      <c r="AF250">
        <f t="shared" si="178"/>
        <v>2.9642811608340002E-3</v>
      </c>
      <c r="AG250">
        <f t="shared" si="194"/>
        <v>17978.822150407272</v>
      </c>
      <c r="AH250">
        <f t="shared" si="195"/>
        <v>-703.21451101118919</v>
      </c>
      <c r="AJ250">
        <f t="shared" si="179"/>
        <v>18000</v>
      </c>
      <c r="AK250">
        <f t="shared" si="180"/>
        <v>120923.67100967999</v>
      </c>
      <c r="AL250">
        <v>1</v>
      </c>
      <c r="AM250">
        <f t="shared" si="181"/>
        <v>73.897798950359999</v>
      </c>
      <c r="AN250">
        <f t="shared" si="196"/>
        <v>1639.3596052083233</v>
      </c>
      <c r="AO250">
        <f t="shared" si="197"/>
        <v>-221.39550334620589</v>
      </c>
      <c r="AQ250">
        <f t="shared" si="182"/>
        <v>7.7159898457573636E-2</v>
      </c>
      <c r="AR250">
        <f t="shared" si="183"/>
        <v>-27.777563444726507</v>
      </c>
      <c r="AT250">
        <f t="shared" si="209"/>
        <v>-18146.34160335343</v>
      </c>
      <c r="AU250">
        <f t="shared" si="210"/>
        <v>-499462.13290465577</v>
      </c>
      <c r="AV250">
        <f t="shared" si="198"/>
        <v>-1.6071121200299037</v>
      </c>
      <c r="AW250">
        <f t="shared" si="199"/>
        <v>35990.591989305794</v>
      </c>
      <c r="AX250">
        <f t="shared" si="200"/>
        <v>-50400.342357824673</v>
      </c>
      <c r="AY250">
        <f t="shared" si="208"/>
        <v>-0.95067366799983088</v>
      </c>
      <c r="BA250">
        <f t="shared" si="184"/>
        <v>8.0700652029170659</v>
      </c>
      <c r="BB250">
        <f t="shared" si="201"/>
        <v>18.13754087325848</v>
      </c>
      <c r="BC250">
        <f t="shared" si="202"/>
        <v>-0.65643845203007278</v>
      </c>
      <c r="BD250">
        <f t="shared" si="185"/>
        <v>-217.61115285440113</v>
      </c>
      <c r="BF250">
        <f t="shared" si="186"/>
        <v>-13.397370436414418</v>
      </c>
      <c r="BG250">
        <f t="shared" si="187"/>
        <v>-132.41923233570103</v>
      </c>
      <c r="BH250">
        <f t="shared" si="203"/>
        <v>47.580767664298975</v>
      </c>
      <c r="BI250">
        <f t="shared" si="204"/>
        <v>47.580767664298975</v>
      </c>
      <c r="BJ250">
        <f t="shared" si="188"/>
        <v>0</v>
      </c>
      <c r="BK250">
        <f t="shared" si="205"/>
        <v>0</v>
      </c>
      <c r="BM250">
        <f t="shared" si="206"/>
        <v>-31.534911309672896</v>
      </c>
      <c r="BN250">
        <f t="shared" si="189"/>
        <v>-94.808079481299927</v>
      </c>
      <c r="BQ250" s="66">
        <f t="shared" si="207"/>
        <v>35.039501673543619</v>
      </c>
      <c r="BR250" s="71"/>
      <c r="BS250" s="71"/>
      <c r="BT250" s="71">
        <v>25118.864000000001</v>
      </c>
      <c r="BU250" s="71">
        <v>-3.1069800000000001</v>
      </c>
      <c r="BV250" s="71">
        <v>-162.52199999999999</v>
      </c>
      <c r="BY250" s="71"/>
      <c r="BZ250" s="71"/>
      <c r="CA250" s="71"/>
      <c r="CC250" s="71"/>
    </row>
    <row r="251" spans="1:81" x14ac:dyDescent="0.2">
      <c r="A251">
        <f t="shared" si="211"/>
        <v>185000</v>
      </c>
      <c r="B251">
        <f t="shared" si="191"/>
        <v>185</v>
      </c>
      <c r="C251">
        <f t="shared" si="159"/>
        <v>11.551021502520131</v>
      </c>
      <c r="D251">
        <f t="shared" si="160"/>
        <v>1.4841153901784698</v>
      </c>
      <c r="F251">
        <f t="shared" si="161"/>
        <v>1.4878136750580035E-4</v>
      </c>
      <c r="G251">
        <f t="shared" si="162"/>
        <v>5.0198924841531869E-3</v>
      </c>
      <c r="H251">
        <f t="shared" si="163"/>
        <v>-3.1365727575158471</v>
      </c>
      <c r="J251">
        <f t="shared" si="164"/>
        <v>15</v>
      </c>
      <c r="M251">
        <f t="shared" si="165"/>
        <v>1.8235130583512515E-2</v>
      </c>
      <c r="N251">
        <f t="shared" si="166"/>
        <v>-1.5707963250000001</v>
      </c>
      <c r="O251">
        <f t="shared" si="167"/>
        <v>54.827398754973366</v>
      </c>
      <c r="P251">
        <f t="shared" si="168"/>
        <v>1.5525562593309659</v>
      </c>
      <c r="Q251">
        <f t="shared" si="169"/>
        <v>75.957098536366459</v>
      </c>
      <c r="R251">
        <f t="shared" si="170"/>
        <v>1.557630619979339</v>
      </c>
      <c r="S251">
        <f t="shared" si="171"/>
        <v>0.14333563651070708</v>
      </c>
      <c r="T251">
        <f t="shared" si="172"/>
        <v>-1.4269652887323314</v>
      </c>
      <c r="U251">
        <f t="shared" si="173"/>
        <v>0.99978135261196788</v>
      </c>
      <c r="V251">
        <f t="shared" si="174"/>
        <v>-2.0911975338394253E-2</v>
      </c>
      <c r="X251">
        <f t="shared" si="192"/>
        <v>-11.040114094150555</v>
      </c>
      <c r="Y251">
        <f t="shared" si="175"/>
        <v>-89.435507775842169</v>
      </c>
      <c r="Z251">
        <f t="shared" si="193"/>
        <v>90.564492224157831</v>
      </c>
      <c r="AC251">
        <v>1</v>
      </c>
      <c r="AD251">
        <f t="shared" si="176"/>
        <v>54.818278468380008</v>
      </c>
      <c r="AE251">
        <f t="shared" si="177"/>
        <v>-6.3720179267108882E-5</v>
      </c>
      <c r="AF251">
        <f t="shared" si="178"/>
        <v>3.0466223041905002E-3</v>
      </c>
      <c r="AG251">
        <f t="shared" si="194"/>
        <v>17978.402963744469</v>
      </c>
      <c r="AH251">
        <f t="shared" si="195"/>
        <v>-704.25108384290195</v>
      </c>
      <c r="AJ251">
        <f t="shared" si="179"/>
        <v>18000</v>
      </c>
      <c r="AK251">
        <f t="shared" si="180"/>
        <v>124282.66187105999</v>
      </c>
      <c r="AL251">
        <v>1</v>
      </c>
      <c r="AM251">
        <f t="shared" si="181"/>
        <v>75.950515587870001</v>
      </c>
      <c r="AN251">
        <f t="shared" si="196"/>
        <v>1639.1998770722291</v>
      </c>
      <c r="AO251">
        <f t="shared" si="197"/>
        <v>-215.41394414892881</v>
      </c>
      <c r="AQ251">
        <f t="shared" si="182"/>
        <v>7.3045485423773385E-2</v>
      </c>
      <c r="AR251">
        <f t="shared" si="183"/>
        <v>-27.026829606796152</v>
      </c>
      <c r="AT251">
        <f t="shared" si="209"/>
        <v>-17720.432871792698</v>
      </c>
      <c r="AU251">
        <f t="shared" si="210"/>
        <v>-485950.6758657202</v>
      </c>
      <c r="AV251">
        <f t="shared" si="198"/>
        <v>-1.6072456734752125</v>
      </c>
      <c r="AW251">
        <f t="shared" si="199"/>
        <v>36311.452102361007</v>
      </c>
      <c r="AX251">
        <f t="shared" si="200"/>
        <v>-49078.003368902457</v>
      </c>
      <c r="AY251">
        <f t="shared" si="208"/>
        <v>-0.93380855862884826</v>
      </c>
      <c r="BA251">
        <f t="shared" si="184"/>
        <v>7.9650962985596374</v>
      </c>
      <c r="BB251">
        <f t="shared" si="201"/>
        <v>18.023820616378284</v>
      </c>
      <c r="BC251">
        <f t="shared" si="202"/>
        <v>-0.67343711484636426</v>
      </c>
      <c r="BD251">
        <f t="shared" si="185"/>
        <v>-218.58510449225349</v>
      </c>
      <c r="BF251">
        <f t="shared" si="186"/>
        <v>-13.75097543329206</v>
      </c>
      <c r="BG251">
        <f t="shared" si="187"/>
        <v>-133.26393757417068</v>
      </c>
      <c r="BH251">
        <f t="shared" si="203"/>
        <v>46.736062425829317</v>
      </c>
      <c r="BI251">
        <f t="shared" si="204"/>
        <v>46.736062425829317</v>
      </c>
      <c r="BJ251">
        <f t="shared" si="188"/>
        <v>0</v>
      </c>
      <c r="BK251">
        <f t="shared" si="205"/>
        <v>0</v>
      </c>
      <c r="BM251">
        <f t="shared" si="206"/>
        <v>-31.774796049670346</v>
      </c>
      <c r="BN251">
        <f t="shared" si="189"/>
        <v>-94.67883308191719</v>
      </c>
      <c r="BQ251" s="66">
        <f t="shared" si="207"/>
        <v>34.925781416663419</v>
      </c>
      <c r="BR251" s="71"/>
      <c r="BS251" s="71"/>
      <c r="BT251" s="71">
        <v>25703.957999999999</v>
      </c>
      <c r="BU251" s="71">
        <v>-3.0172699999999999</v>
      </c>
      <c r="BV251" s="71">
        <v>-161.32599999999999</v>
      </c>
      <c r="BY251" s="71"/>
      <c r="BZ251" s="71"/>
      <c r="CA251" s="71"/>
      <c r="CC251" s="71"/>
    </row>
    <row r="252" spans="1:81" x14ac:dyDescent="0.2">
      <c r="A252">
        <f t="shared" si="211"/>
        <v>190000</v>
      </c>
      <c r="B252">
        <f t="shared" si="191"/>
        <v>190</v>
      </c>
      <c r="C252">
        <f t="shared" si="159"/>
        <v>11.8609020394839</v>
      </c>
      <c r="D252">
        <f t="shared" si="160"/>
        <v>1.486385502408788</v>
      </c>
      <c r="F252">
        <f t="shared" si="161"/>
        <v>1.4105279649137309E-4</v>
      </c>
      <c r="G252">
        <f t="shared" si="162"/>
        <v>4.8877540923731701E-3</v>
      </c>
      <c r="H252">
        <f t="shared" si="163"/>
        <v>-3.1367048959076271</v>
      </c>
      <c r="J252">
        <f t="shared" si="164"/>
        <v>15</v>
      </c>
      <c r="M252">
        <f t="shared" si="165"/>
        <v>1.7755258726051659E-2</v>
      </c>
      <c r="N252">
        <f t="shared" si="166"/>
        <v>-1.5707963250000001</v>
      </c>
      <c r="O252">
        <f t="shared" si="167"/>
        <v>56.30873387953379</v>
      </c>
      <c r="P252">
        <f t="shared" si="168"/>
        <v>1.5530361588133437</v>
      </c>
      <c r="Q252">
        <f t="shared" si="169"/>
        <v>78.009641952816068</v>
      </c>
      <c r="R252">
        <f t="shared" si="170"/>
        <v>1.5579770474791805</v>
      </c>
      <c r="S252">
        <f t="shared" si="171"/>
        <v>0.13963816944602322</v>
      </c>
      <c r="T252">
        <f t="shared" si="172"/>
        <v>-1.4307003321379335</v>
      </c>
      <c r="U252">
        <f t="shared" si="173"/>
        <v>0.9997693782644641</v>
      </c>
      <c r="V252">
        <f t="shared" si="174"/>
        <v>-2.1476992362926734E-2</v>
      </c>
      <c r="X252">
        <f t="shared" si="192"/>
        <v>-11.269085831133109</v>
      </c>
      <c r="Y252">
        <f t="shared" si="175"/>
        <v>-89.512041163990986</v>
      </c>
      <c r="Z252">
        <f t="shared" si="193"/>
        <v>90.487958836009014</v>
      </c>
      <c r="AC252">
        <v>1</v>
      </c>
      <c r="AD252">
        <f t="shared" si="176"/>
        <v>56.299853562120006</v>
      </c>
      <c r="AE252">
        <f t="shared" si="177"/>
        <v>-6.7211058335796376E-5</v>
      </c>
      <c r="AF252">
        <f t="shared" si="178"/>
        <v>3.1289634475470001E-3</v>
      </c>
      <c r="AG252">
        <f t="shared" si="194"/>
        <v>17977.972312872877</v>
      </c>
      <c r="AH252">
        <f t="shared" si="195"/>
        <v>-705.76680836942228</v>
      </c>
      <c r="AJ252">
        <f t="shared" si="179"/>
        <v>18000</v>
      </c>
      <c r="AK252">
        <f t="shared" si="180"/>
        <v>127641.65273244001</v>
      </c>
      <c r="AL252">
        <v>1</v>
      </c>
      <c r="AM252">
        <f t="shared" si="181"/>
        <v>78.003232225379989</v>
      </c>
      <c r="AN252">
        <f t="shared" si="196"/>
        <v>1639.0525896080555</v>
      </c>
      <c r="AO252">
        <f t="shared" si="197"/>
        <v>-209.74704436758665</v>
      </c>
      <c r="AQ252">
        <f t="shared" si="182"/>
        <v>6.92515979806234E-2</v>
      </c>
      <c r="AR252">
        <f t="shared" si="183"/>
        <v>-26.315607232636893</v>
      </c>
      <c r="AT252">
        <f t="shared" si="209"/>
        <v>-17327.678815763575</v>
      </c>
      <c r="AU252">
        <f t="shared" si="210"/>
        <v>-473150.13370406453</v>
      </c>
      <c r="AV252">
        <f t="shared" si="198"/>
        <v>-1.6074019142667262</v>
      </c>
      <c r="AW252">
        <f t="shared" si="199"/>
        <v>36607.223944155012</v>
      </c>
      <c r="AX252">
        <f t="shared" si="200"/>
        <v>-47826.854059709243</v>
      </c>
      <c r="AY252">
        <f t="shared" si="208"/>
        <v>-0.91750460159038627</v>
      </c>
      <c r="BA252">
        <f t="shared" si="184"/>
        <v>7.8611572346899168</v>
      </c>
      <c r="BB252">
        <f t="shared" si="201"/>
        <v>17.90972965780097</v>
      </c>
      <c r="BC252">
        <f t="shared" si="202"/>
        <v>-0.68989731267633991</v>
      </c>
      <c r="BD252">
        <f t="shared" si="185"/>
        <v>-219.52820435893915</v>
      </c>
      <c r="BF252">
        <f t="shared" si="186"/>
        <v>-14.098456763730091</v>
      </c>
      <c r="BG252">
        <f t="shared" si="187"/>
        <v>-134.08454056305874</v>
      </c>
      <c r="BH252">
        <f t="shared" si="203"/>
        <v>45.915459436941262</v>
      </c>
      <c r="BI252">
        <f t="shared" si="204"/>
        <v>45.915459436941262</v>
      </c>
      <c r="BJ252">
        <f t="shared" si="188"/>
        <v>0</v>
      </c>
      <c r="BK252">
        <f t="shared" si="205"/>
        <v>0</v>
      </c>
      <c r="BM252">
        <f t="shared" si="206"/>
        <v>-32.008186421531065</v>
      </c>
      <c r="BN252">
        <f t="shared" si="189"/>
        <v>-94.556336204119603</v>
      </c>
      <c r="BQ252" s="66">
        <f t="shared" si="207"/>
        <v>34.811690458086105</v>
      </c>
      <c r="BR252" s="71"/>
      <c r="BS252" s="71"/>
      <c r="BT252" s="71">
        <v>26302.68</v>
      </c>
      <c r="BU252" s="71">
        <v>-2.9494799999999999</v>
      </c>
      <c r="BV252" s="71">
        <v>-160.22999999999999</v>
      </c>
      <c r="BY252" s="71"/>
      <c r="BZ252" s="71"/>
      <c r="CA252" s="71"/>
      <c r="CC252" s="71"/>
    </row>
    <row r="253" spans="1:81" x14ac:dyDescent="0.2">
      <c r="A253">
        <f t="shared" si="211"/>
        <v>195000</v>
      </c>
      <c r="B253">
        <f t="shared" si="191"/>
        <v>195</v>
      </c>
      <c r="C253">
        <f t="shared" si="159"/>
        <v>12.170840587807083</v>
      </c>
      <c r="D253">
        <f t="shared" si="160"/>
        <v>1.4885400054409168</v>
      </c>
      <c r="F253">
        <f t="shared" si="161"/>
        <v>1.3391117328915875E-4</v>
      </c>
      <c r="G253">
        <f t="shared" si="162"/>
        <v>4.7623946891776001E-3</v>
      </c>
      <c r="H253">
        <f t="shared" si="163"/>
        <v>-3.1368302553108225</v>
      </c>
      <c r="J253">
        <f t="shared" si="164"/>
        <v>15</v>
      </c>
      <c r="M253">
        <f t="shared" si="165"/>
        <v>1.7299995681793925E-2</v>
      </c>
      <c r="N253">
        <f t="shared" si="166"/>
        <v>-1.5707963250000001</v>
      </c>
      <c r="O253">
        <f t="shared" si="167"/>
        <v>57.790081307368311</v>
      </c>
      <c r="P253">
        <f t="shared" si="168"/>
        <v>1.5534914556322179</v>
      </c>
      <c r="Q253">
        <f t="shared" si="169"/>
        <v>80.062194251329757</v>
      </c>
      <c r="R253">
        <f t="shared" si="170"/>
        <v>1.5583057123119977</v>
      </c>
      <c r="S253">
        <f t="shared" si="171"/>
        <v>0.13612490593702337</v>
      </c>
      <c r="T253">
        <f t="shared" si="172"/>
        <v>-1.4342474773468037</v>
      </c>
      <c r="U253">
        <f t="shared" si="173"/>
        <v>0.99975708504862781</v>
      </c>
      <c r="V253">
        <f t="shared" si="174"/>
        <v>-2.2041995672872669E-2</v>
      </c>
      <c r="X253">
        <f t="shared" si="192"/>
        <v>-11.49224959178029</v>
      </c>
      <c r="Y253">
        <f t="shared" si="175"/>
        <v>-89.58647085902939</v>
      </c>
      <c r="Z253">
        <f t="shared" si="193"/>
        <v>90.41352914097061</v>
      </c>
      <c r="AC253">
        <v>1</v>
      </c>
      <c r="AD253">
        <f t="shared" si="176"/>
        <v>57.781428655860012</v>
      </c>
      <c r="AE253">
        <f t="shared" si="177"/>
        <v>-7.079502751298217E-5</v>
      </c>
      <c r="AF253">
        <f t="shared" si="178"/>
        <v>3.2113045909035005E-3</v>
      </c>
      <c r="AG253">
        <f t="shared" si="194"/>
        <v>17977.530199441542</v>
      </c>
      <c r="AH253">
        <f t="shared" si="195"/>
        <v>-707.72475196614789</v>
      </c>
      <c r="AJ253">
        <f t="shared" si="179"/>
        <v>18000</v>
      </c>
      <c r="AK253">
        <f t="shared" si="180"/>
        <v>131000.64359382</v>
      </c>
      <c r="AL253">
        <v>1</v>
      </c>
      <c r="AM253">
        <f t="shared" si="181"/>
        <v>80.055948862890006</v>
      </c>
      <c r="AN253">
        <f t="shared" si="196"/>
        <v>1638.9164836918189</v>
      </c>
      <c r="AO253">
        <f t="shared" si="197"/>
        <v>-204.37061515977325</v>
      </c>
      <c r="AQ253">
        <f t="shared" si="182"/>
        <v>6.5745787338676268E-2</v>
      </c>
      <c r="AR253">
        <f t="shared" si="183"/>
        <v>-25.640857062083747</v>
      </c>
      <c r="AT253">
        <f t="shared" si="209"/>
        <v>-16964.722327095558</v>
      </c>
      <c r="AU253">
        <f t="shared" si="210"/>
        <v>-461005.81209421158</v>
      </c>
      <c r="AV253">
        <f t="shared" si="198"/>
        <v>-1.6075790966856582</v>
      </c>
      <c r="AW253">
        <f t="shared" si="199"/>
        <v>36880.443918338315</v>
      </c>
      <c r="AX253">
        <f t="shared" si="200"/>
        <v>-46641.379290420293</v>
      </c>
      <c r="AY253">
        <f t="shared" si="208"/>
        <v>-0.90173731621480591</v>
      </c>
      <c r="BA253">
        <f t="shared" si="184"/>
        <v>7.758354055838022</v>
      </c>
      <c r="BB253">
        <f t="shared" si="201"/>
        <v>17.795391898650514</v>
      </c>
      <c r="BC253">
        <f t="shared" si="202"/>
        <v>-0.70584178047085233</v>
      </c>
      <c r="BD253">
        <f t="shared" si="185"/>
        <v>-220.44175507119087</v>
      </c>
      <c r="BF253">
        <f t="shared" si="186"/>
        <v>-14.44003513343956</v>
      </c>
      <c r="BG253">
        <f t="shared" si="187"/>
        <v>-134.88182990921385</v>
      </c>
      <c r="BH253">
        <f t="shared" si="203"/>
        <v>45.118170090786151</v>
      </c>
      <c r="BI253">
        <f t="shared" si="204"/>
        <v>45.118170090786151</v>
      </c>
      <c r="BJ253">
        <f t="shared" si="188"/>
        <v>0</v>
      </c>
      <c r="BK253">
        <f t="shared" si="205"/>
        <v>0</v>
      </c>
      <c r="BM253">
        <f t="shared" si="206"/>
        <v>-32.235427032090072</v>
      </c>
      <c r="BN253">
        <f t="shared" si="189"/>
        <v>-94.440074838023008</v>
      </c>
      <c r="BQ253" s="66">
        <f t="shared" si="207"/>
        <v>34.697352698935653</v>
      </c>
      <c r="BR253" s="71"/>
      <c r="BS253" s="71"/>
      <c r="BT253" s="71">
        <v>26915.348000000002</v>
      </c>
      <c r="BU253" s="71">
        <v>-2.8411300000000002</v>
      </c>
      <c r="BV253" s="71">
        <v>-159.27600000000001</v>
      </c>
      <c r="BY253" s="71"/>
      <c r="BZ253" s="71"/>
      <c r="CA253" s="71"/>
      <c r="CC253" s="71"/>
    </row>
    <row r="254" spans="1:81" x14ac:dyDescent="0.2">
      <c r="A254">
        <f t="shared" si="211"/>
        <v>200000</v>
      </c>
      <c r="B254">
        <f t="shared" si="191"/>
        <v>200</v>
      </c>
      <c r="C254">
        <f t="shared" si="159"/>
        <v>12.480832825673902</v>
      </c>
      <c r="D254">
        <f t="shared" si="160"/>
        <v>1.4905874928041059</v>
      </c>
      <c r="F254">
        <f t="shared" si="161"/>
        <v>1.2729853158023846E-4</v>
      </c>
      <c r="G254">
        <f t="shared" si="162"/>
        <v>4.6433055942159398E-3</v>
      </c>
      <c r="H254">
        <f t="shared" si="163"/>
        <v>-3.1369493444057843</v>
      </c>
      <c r="J254">
        <f t="shared" si="164"/>
        <v>15</v>
      </c>
      <c r="M254">
        <f t="shared" si="165"/>
        <v>1.6867495789749075E-2</v>
      </c>
      <c r="N254">
        <f t="shared" si="166"/>
        <v>-1.5707963250000001</v>
      </c>
      <c r="O254">
        <f t="shared" si="167"/>
        <v>59.271440116004477</v>
      </c>
      <c r="P254">
        <f t="shared" si="168"/>
        <v>1.5539239942591465</v>
      </c>
      <c r="Q254">
        <f t="shared" si="169"/>
        <v>82.114754765855437</v>
      </c>
      <c r="R254">
        <f t="shared" si="170"/>
        <v>1.5586179464038932</v>
      </c>
      <c r="S254">
        <f t="shared" si="171"/>
        <v>0.13278253977351082</v>
      </c>
      <c r="T254">
        <f t="shared" si="172"/>
        <v>-1.4376204724028414</v>
      </c>
      <c r="U254">
        <f t="shared" si="173"/>
        <v>0.99974447299976721</v>
      </c>
      <c r="V254">
        <f t="shared" si="174"/>
        <v>-2.260698490801416E-2</v>
      </c>
      <c r="X254">
        <f t="shared" si="192"/>
        <v>-11.709890154178371</v>
      </c>
      <c r="Y254">
        <f t="shared" si="175"/>
        <v>-89.658939323310733</v>
      </c>
      <c r="Z254">
        <f t="shared" si="193"/>
        <v>90.341060676689267</v>
      </c>
      <c r="AC254">
        <v>1</v>
      </c>
      <c r="AD254">
        <f t="shared" si="176"/>
        <v>59.263003749600003</v>
      </c>
      <c r="AE254">
        <f t="shared" si="177"/>
        <v>-7.4472086798666332E-5</v>
      </c>
      <c r="AF254">
        <f t="shared" si="178"/>
        <v>3.29364573426E-3</v>
      </c>
      <c r="AG254">
        <f t="shared" si="194"/>
        <v>17977.076625143294</v>
      </c>
      <c r="AH254">
        <f t="shared" si="195"/>
        <v>-710.09167333517576</v>
      </c>
      <c r="AJ254">
        <f t="shared" si="179"/>
        <v>18000</v>
      </c>
      <c r="AK254">
        <f t="shared" si="180"/>
        <v>134359.63445519999</v>
      </c>
      <c r="AL254">
        <v>1</v>
      </c>
      <c r="AM254">
        <f t="shared" si="181"/>
        <v>82.108665500400008</v>
      </c>
      <c r="AN254">
        <f t="shared" si="196"/>
        <v>1638.7904555484438</v>
      </c>
      <c r="AO254">
        <f t="shared" si="197"/>
        <v>-199.26288467533126</v>
      </c>
      <c r="AQ254">
        <f t="shared" si="182"/>
        <v>6.2499609377441388E-2</v>
      </c>
      <c r="AR254">
        <f t="shared" si="183"/>
        <v>-24.999843750976556</v>
      </c>
      <c r="AT254">
        <f t="shared" si="209"/>
        <v>-16628.620615429089</v>
      </c>
      <c r="AU254">
        <f t="shared" si="210"/>
        <v>-449468.48718012089</v>
      </c>
      <c r="AV254">
        <f t="shared" si="198"/>
        <v>-1.6077756494469746</v>
      </c>
      <c r="AW254">
        <f t="shared" si="199"/>
        <v>37133.335517602209</v>
      </c>
      <c r="AX254">
        <f t="shared" si="200"/>
        <v>-45516.620103310452</v>
      </c>
      <c r="AY254">
        <f t="shared" si="208"/>
        <v>-0.88648364875048369</v>
      </c>
      <c r="BA254">
        <f t="shared" si="184"/>
        <v>7.6567765290455494</v>
      </c>
      <c r="BB254">
        <f t="shared" si="201"/>
        <v>17.680919438891557</v>
      </c>
      <c r="BC254">
        <f t="shared" si="202"/>
        <v>-0.72129200069649091</v>
      </c>
      <c r="BD254">
        <f t="shared" si="185"/>
        <v>-221.32698748367915</v>
      </c>
      <c r="BF254">
        <f t="shared" si="186"/>
        <v>-14.775916178655342</v>
      </c>
      <c r="BG254">
        <f t="shared" si="187"/>
        <v>-135.65657323958612</v>
      </c>
      <c r="BH254">
        <f t="shared" si="203"/>
        <v>44.343426760413877</v>
      </c>
      <c r="BI254">
        <f t="shared" si="204"/>
        <v>44.343426760413877</v>
      </c>
      <c r="BJ254">
        <f t="shared" si="188"/>
        <v>0</v>
      </c>
      <c r="BK254">
        <f t="shared" si="205"/>
        <v>0</v>
      </c>
      <c r="BM254">
        <f t="shared" si="206"/>
        <v>-32.456835617546901</v>
      </c>
      <c r="BN254">
        <f t="shared" si="189"/>
        <v>-94.32958575590699</v>
      </c>
      <c r="BQ254" s="66">
        <f t="shared" si="207"/>
        <v>34.582880239176689</v>
      </c>
      <c r="BR254" s="71"/>
      <c r="BS254" s="71"/>
      <c r="BT254" s="71">
        <v>27542.287</v>
      </c>
      <c r="BU254" s="71">
        <v>-2.7366600000000001</v>
      </c>
      <c r="BV254" s="71">
        <v>-158.108</v>
      </c>
      <c r="BY254" s="71"/>
      <c r="BZ254" s="71"/>
      <c r="CA254" s="71"/>
      <c r="CC254" s="71"/>
    </row>
    <row r="255" spans="1:81" x14ac:dyDescent="0.2">
      <c r="A255">
        <f t="shared" si="211"/>
        <v>205000</v>
      </c>
      <c r="B255">
        <f t="shared" si="191"/>
        <v>205</v>
      </c>
      <c r="C255">
        <f t="shared" si="159"/>
        <v>12.790874849518861</v>
      </c>
      <c r="D255">
        <f t="shared" si="160"/>
        <v>1.4925357286323024</v>
      </c>
      <c r="F255">
        <f t="shared" si="161"/>
        <v>1.2116388840517708E-4</v>
      </c>
      <c r="G255">
        <f t="shared" si="162"/>
        <v>4.5300277846017914E-3</v>
      </c>
      <c r="H255">
        <f t="shared" si="163"/>
        <v>-3.1370626222153986</v>
      </c>
      <c r="J255">
        <f t="shared" si="164"/>
        <v>15</v>
      </c>
      <c r="M255">
        <f t="shared" si="165"/>
        <v>1.6456093453413735E-2</v>
      </c>
      <c r="N255">
        <f t="shared" si="166"/>
        <v>-1.5707963250000001</v>
      </c>
      <c r="O255">
        <f t="shared" si="167"/>
        <v>60.752809472935084</v>
      </c>
      <c r="P255">
        <f t="shared" si="168"/>
        <v>1.5543354393027826</v>
      </c>
      <c r="Q255">
        <f t="shared" si="169"/>
        <v>84.167322895309667</v>
      </c>
      <c r="R255">
        <f t="shared" si="170"/>
        <v>1.5589149517691425</v>
      </c>
      <c r="S255">
        <f t="shared" si="171"/>
        <v>0.12959900466330393</v>
      </c>
      <c r="T255">
        <f t="shared" si="172"/>
        <v>-1.4408317636901882</v>
      </c>
      <c r="U255">
        <f t="shared" si="173"/>
        <v>0.99973154215410354</v>
      </c>
      <c r="V255">
        <f t="shared" si="174"/>
        <v>-2.3171959708187202E-2</v>
      </c>
      <c r="X255">
        <f t="shared" si="192"/>
        <v>-11.922272060554262</v>
      </c>
      <c r="Y255">
        <f t="shared" si="175"/>
        <v>-89.729576864052802</v>
      </c>
      <c r="Z255">
        <f t="shared" si="193"/>
        <v>90.270423135947198</v>
      </c>
      <c r="AC255">
        <v>1</v>
      </c>
      <c r="AD255">
        <f t="shared" si="176"/>
        <v>60.744578843340001</v>
      </c>
      <c r="AE255">
        <f t="shared" si="177"/>
        <v>-7.8242236192848822E-5</v>
      </c>
      <c r="AF255">
        <f t="shared" si="178"/>
        <v>3.3759868776165E-3</v>
      </c>
      <c r="AG255">
        <f t="shared" si="194"/>
        <v>17976.611591714704</v>
      </c>
      <c r="AH255">
        <f t="shared" si="195"/>
        <v>-712.83757234420727</v>
      </c>
      <c r="AJ255">
        <f t="shared" si="179"/>
        <v>18000</v>
      </c>
      <c r="AK255">
        <f t="shared" si="180"/>
        <v>137718.62531658</v>
      </c>
      <c r="AL255">
        <v>1</v>
      </c>
      <c r="AM255">
        <f t="shared" si="181"/>
        <v>84.161382137909996</v>
      </c>
      <c r="AN255">
        <f t="shared" si="196"/>
        <v>1638.6735343076759</v>
      </c>
      <c r="AO255">
        <f t="shared" si="197"/>
        <v>-194.40420356787916</v>
      </c>
      <c r="AQ255">
        <f t="shared" si="182"/>
        <v>5.9488045877180984E-2</v>
      </c>
      <c r="AR255">
        <f t="shared" si="183"/>
        <v>-24.390098809644201</v>
      </c>
      <c r="AT255">
        <f t="shared" si="209"/>
        <v>-16316.785329617922</v>
      </c>
      <c r="AU255">
        <f t="shared" si="210"/>
        <v>-438493.73829872353</v>
      </c>
      <c r="AV255">
        <f t="shared" si="198"/>
        <v>-1.6079901544413917</v>
      </c>
      <c r="AW255">
        <f t="shared" si="199"/>
        <v>37367.85452732358</v>
      </c>
      <c r="AX255">
        <f t="shared" si="200"/>
        <v>-44448.105237089563</v>
      </c>
      <c r="AY255">
        <f t="shared" si="208"/>
        <v>-0.8717218484921978</v>
      </c>
      <c r="BA255">
        <f t="shared" si="184"/>
        <v>7.5564999578880805</v>
      </c>
      <c r="BB255">
        <f t="shared" si="201"/>
        <v>17.566413685284189</v>
      </c>
      <c r="BC255">
        <f t="shared" si="202"/>
        <v>-0.7362683059491939</v>
      </c>
      <c r="BD255">
        <f t="shared" si="185"/>
        <v>-222.18506656833912</v>
      </c>
      <c r="BF255">
        <f t="shared" si="186"/>
        <v>-15.106292094075895</v>
      </c>
      <c r="BG255">
        <f t="shared" si="187"/>
        <v>-136.40951697407752</v>
      </c>
      <c r="BH255">
        <f t="shared" si="203"/>
        <v>43.590483025922481</v>
      </c>
      <c r="BI255">
        <f t="shared" si="204"/>
        <v>43.590483025922481</v>
      </c>
      <c r="BJ255">
        <f t="shared" si="188"/>
        <v>0</v>
      </c>
      <c r="BK255">
        <f t="shared" si="205"/>
        <v>0</v>
      </c>
      <c r="BM255">
        <f t="shared" si="206"/>
        <v>-32.672705779360086</v>
      </c>
      <c r="BN255">
        <f t="shared" si="189"/>
        <v>-94.224450405738395</v>
      </c>
      <c r="BQ255" s="66">
        <f t="shared" si="207"/>
        <v>34.468374485569328</v>
      </c>
      <c r="BR255" s="71"/>
      <c r="BS255" s="71"/>
      <c r="BT255" s="71">
        <v>28183.829000000002</v>
      </c>
      <c r="BU255" s="71">
        <v>-2.6523400000000001</v>
      </c>
      <c r="BV255" s="71">
        <v>-157.06299999999999</v>
      </c>
      <c r="BY255" s="71"/>
      <c r="BZ255" s="71"/>
      <c r="CA255" s="71"/>
      <c r="CC255" s="71"/>
    </row>
    <row r="256" spans="1:81" x14ac:dyDescent="0.2">
      <c r="A256">
        <f t="shared" si="211"/>
        <v>210000</v>
      </c>
      <c r="B256">
        <f t="shared" si="191"/>
        <v>210</v>
      </c>
      <c r="C256">
        <f t="shared" si="159"/>
        <v>13.100963124698778</v>
      </c>
      <c r="D256">
        <f t="shared" si="160"/>
        <v>1.4943917451727287</v>
      </c>
      <c r="F256">
        <f t="shared" si="161"/>
        <v>1.154622583628602E-4</v>
      </c>
      <c r="G256">
        <f t="shared" si="162"/>
        <v>4.4221459791604096E-3</v>
      </c>
      <c r="H256">
        <f t="shared" si="163"/>
        <v>-3.13717050402084</v>
      </c>
      <c r="J256">
        <f t="shared" si="164"/>
        <v>15</v>
      </c>
      <c r="M256">
        <f t="shared" si="165"/>
        <v>1.6064281704522929E-2</v>
      </c>
      <c r="N256">
        <f t="shared" si="166"/>
        <v>-1.5707963250000001</v>
      </c>
      <c r="O256">
        <f t="shared" si="167"/>
        <v>62.234188624912413</v>
      </c>
      <c r="P256">
        <f t="shared" si="168"/>
        <v>1.5547272969093457</v>
      </c>
      <c r="Q256">
        <f t="shared" si="169"/>
        <v>86.219898095844883</v>
      </c>
      <c r="R256">
        <f t="shared" si="170"/>
        <v>1.5591978159714539</v>
      </c>
      <c r="S256">
        <f t="shared" si="171"/>
        <v>0.12656333440988943</v>
      </c>
      <c r="T256">
        <f t="shared" si="172"/>
        <v>-1.4438926455642438</v>
      </c>
      <c r="U256">
        <f t="shared" si="173"/>
        <v>0.99971829254877098</v>
      </c>
      <c r="V256">
        <f t="shared" si="174"/>
        <v>-2.3736919713283063E-2</v>
      </c>
      <c r="X256">
        <f t="shared" si="192"/>
        <v>-12.129641473061557</v>
      </c>
      <c r="Y256">
        <f t="shared" si="175"/>
        <v>-89.798502846659915</v>
      </c>
      <c r="Z256">
        <f t="shared" si="193"/>
        <v>90.201497153340085</v>
      </c>
      <c r="AC256">
        <v>1</v>
      </c>
      <c r="AD256">
        <f t="shared" si="176"/>
        <v>62.226153937080007</v>
      </c>
      <c r="AE256">
        <f t="shared" si="177"/>
        <v>-8.2105475695529639E-5</v>
      </c>
      <c r="AF256">
        <f t="shared" si="178"/>
        <v>3.4583280209730003E-3</v>
      </c>
      <c r="AG256">
        <f t="shared" si="194"/>
        <v>17976.135100936081</v>
      </c>
      <c r="AH256">
        <f t="shared" si="195"/>
        <v>-715.93530417420016</v>
      </c>
      <c r="AJ256">
        <f t="shared" si="179"/>
        <v>18000</v>
      </c>
      <c r="AK256">
        <f t="shared" si="180"/>
        <v>141077.61617795998</v>
      </c>
      <c r="AL256">
        <v>1</v>
      </c>
      <c r="AM256">
        <f t="shared" si="181"/>
        <v>86.214098775419998</v>
      </c>
      <c r="AN256">
        <f t="shared" si="196"/>
        <v>1638.5648632537718</v>
      </c>
      <c r="AO256">
        <f t="shared" si="197"/>
        <v>-189.7767925332758</v>
      </c>
      <c r="AQ256">
        <f t="shared" si="182"/>
        <v>5.6689021037295707E-2</v>
      </c>
      <c r="AR256">
        <f t="shared" si="183"/>
        <v>-23.809388835664198</v>
      </c>
      <c r="AT256">
        <f t="shared" si="209"/>
        <v>-16026.932537356817</v>
      </c>
      <c r="AU256">
        <f t="shared" si="210"/>
        <v>-428041.37605213851</v>
      </c>
      <c r="AV256">
        <f t="shared" si="198"/>
        <v>-1.6082213285119169</v>
      </c>
      <c r="AW256">
        <f t="shared" si="199"/>
        <v>37585.726790526976</v>
      </c>
      <c r="AX256">
        <f t="shared" si="200"/>
        <v>-43431.792530708852</v>
      </c>
      <c r="AY256">
        <f t="shared" si="208"/>
        <v>-0.85743136029713263</v>
      </c>
      <c r="BA256">
        <f t="shared" si="184"/>
        <v>7.457586798791958</v>
      </c>
      <c r="BB256">
        <f t="shared" si="201"/>
        <v>17.451966336269024</v>
      </c>
      <c r="BC256">
        <f t="shared" si="202"/>
        <v>-0.75078996821478428</v>
      </c>
      <c r="BD256">
        <f t="shared" si="185"/>
        <v>-223.01709652862257</v>
      </c>
      <c r="BF256">
        <f t="shared" si="186"/>
        <v>-15.431343042971298</v>
      </c>
      <c r="BG256">
        <f t="shared" si="187"/>
        <v>-137.14138619191164</v>
      </c>
      <c r="BH256">
        <f t="shared" si="203"/>
        <v>42.858613808088364</v>
      </c>
      <c r="BI256">
        <f t="shared" si="204"/>
        <v>42.858613808088364</v>
      </c>
      <c r="BJ256">
        <f t="shared" si="188"/>
        <v>0</v>
      </c>
      <c r="BK256">
        <f t="shared" si="205"/>
        <v>0</v>
      </c>
      <c r="BM256">
        <f t="shared" si="206"/>
        <v>-32.883309379240316</v>
      </c>
      <c r="BN256">
        <f t="shared" si="189"/>
        <v>-94.124289663289105</v>
      </c>
      <c r="BQ256" s="66">
        <f t="shared" si="207"/>
        <v>34.353927136554162</v>
      </c>
      <c r="BR256" s="71"/>
      <c r="BS256" s="71"/>
      <c r="BT256" s="71">
        <v>28840.314999999999</v>
      </c>
      <c r="BU256" s="71">
        <v>-2.5506799999999998</v>
      </c>
      <c r="BV256" s="71">
        <v>-156.01</v>
      </c>
      <c r="BY256" s="71"/>
      <c r="BZ256" s="71"/>
      <c r="CA256" s="71"/>
      <c r="CC256" s="71"/>
    </row>
    <row r="257" spans="1:81" x14ac:dyDescent="0.2">
      <c r="A257">
        <f t="shared" si="211"/>
        <v>215000</v>
      </c>
      <c r="B257">
        <f t="shared" si="191"/>
        <v>215</v>
      </c>
      <c r="C257">
        <f t="shared" si="159"/>
        <v>13.411094442975495</v>
      </c>
      <c r="D257">
        <f t="shared" si="160"/>
        <v>1.4961619268798696</v>
      </c>
      <c r="F257">
        <f t="shared" si="161"/>
        <v>1.1015382642893447E-4</v>
      </c>
      <c r="G257">
        <f t="shared" si="162"/>
        <v>4.3192835487822013E-3</v>
      </c>
      <c r="H257">
        <f t="shared" si="163"/>
        <v>-3.1372733664512178</v>
      </c>
      <c r="J257">
        <f t="shared" si="164"/>
        <v>15</v>
      </c>
      <c r="M257">
        <f t="shared" si="165"/>
        <v>1.5690693757906118E-2</v>
      </c>
      <c r="N257">
        <f t="shared" si="166"/>
        <v>-1.5707963250000001</v>
      </c>
      <c r="O257">
        <f t="shared" si="167"/>
        <v>63.715576888735661</v>
      </c>
      <c r="P257">
        <f t="shared" si="168"/>
        <v>1.5551009331788295</v>
      </c>
      <c r="Q257">
        <f t="shared" si="169"/>
        <v>88.27247987419554</v>
      </c>
      <c r="R257">
        <f t="shared" si="170"/>
        <v>1.5594675254285413</v>
      </c>
      <c r="S257">
        <f t="shared" si="171"/>
        <v>0.12366554141694161</v>
      </c>
      <c r="T257">
        <f t="shared" si="172"/>
        <v>-1.446813389919253</v>
      </c>
      <c r="U257">
        <f t="shared" si="173"/>
        <v>0.99970472422181667</v>
      </c>
      <c r="V257">
        <f t="shared" si="174"/>
        <v>-2.4301864563249634E-2</v>
      </c>
      <c r="X257">
        <f t="shared" si="192"/>
        <v>-12.332227823372881</v>
      </c>
      <c r="Y257">
        <f t="shared" si="175"/>
        <v>-89.865826774316659</v>
      </c>
      <c r="Z257">
        <f t="shared" si="193"/>
        <v>90.134173225683341</v>
      </c>
      <c r="AC257">
        <v>1</v>
      </c>
      <c r="AD257">
        <f t="shared" si="176"/>
        <v>63.707729030820005</v>
      </c>
      <c r="AE257">
        <f t="shared" si="177"/>
        <v>-8.6061805306708757E-5</v>
      </c>
      <c r="AF257">
        <f t="shared" si="178"/>
        <v>3.5406691643295003E-3</v>
      </c>
      <c r="AG257">
        <f t="shared" si="194"/>
        <v>17975.64715463145</v>
      </c>
      <c r="AH257">
        <f t="shared" si="195"/>
        <v>-719.36024730690019</v>
      </c>
      <c r="AJ257">
        <f t="shared" si="179"/>
        <v>18000</v>
      </c>
      <c r="AK257">
        <f t="shared" si="180"/>
        <v>144436.60703933999</v>
      </c>
      <c r="AL257">
        <v>1</v>
      </c>
      <c r="AM257">
        <f t="shared" si="181"/>
        <v>88.266815412929986</v>
      </c>
      <c r="AN257">
        <f t="shared" si="196"/>
        <v>1638.4636840902249</v>
      </c>
      <c r="AO257">
        <f t="shared" si="197"/>
        <v>-185.3645250411177</v>
      </c>
      <c r="AQ257">
        <f t="shared" si="182"/>
        <v>5.4082995765301428E-2</v>
      </c>
      <c r="AR257">
        <f t="shared" si="183"/>
        <v>-23.255688179079616</v>
      </c>
      <c r="AT257">
        <f t="shared" si="209"/>
        <v>-15757.040750852384</v>
      </c>
      <c r="AU257">
        <f t="shared" si="210"/>
        <v>-418074.95020247757</v>
      </c>
      <c r="AV257">
        <f t="shared" si="198"/>
        <v>-1.6084680077713538</v>
      </c>
      <c r="AW257">
        <f t="shared" si="199"/>
        <v>37788.479900875696</v>
      </c>
      <c r="AX257">
        <f t="shared" si="200"/>
        <v>-42464.018587735132</v>
      </c>
      <c r="AY257">
        <f t="shared" si="208"/>
        <v>-0.84359273068278107</v>
      </c>
      <c r="BA257">
        <f t="shared" si="184"/>
        <v>7.3600881039355022</v>
      </c>
      <c r="BB257">
        <f t="shared" si="201"/>
        <v>17.337660261815216</v>
      </c>
      <c r="BC257">
        <f t="shared" si="202"/>
        <v>-0.76487527708857272</v>
      </c>
      <c r="BD257">
        <f t="shared" si="185"/>
        <v>-223.82412528115097</v>
      </c>
      <c r="BF257">
        <f t="shared" si="186"/>
        <v>-15.751238381319293</v>
      </c>
      <c r="BG257">
        <f t="shared" si="187"/>
        <v>-137.85288458667159</v>
      </c>
      <c r="BH257">
        <f t="shared" si="203"/>
        <v>42.147115413328407</v>
      </c>
      <c r="BI257">
        <f t="shared" si="204"/>
        <v>42.147115413328407</v>
      </c>
      <c r="BJ257">
        <f t="shared" si="188"/>
        <v>0</v>
      </c>
      <c r="BK257">
        <f t="shared" si="205"/>
        <v>0</v>
      </c>
      <c r="BM257">
        <f t="shared" si="206"/>
        <v>-33.088898643134506</v>
      </c>
      <c r="BN257">
        <f t="shared" si="189"/>
        <v>-94.028759305520609</v>
      </c>
      <c r="BQ257" s="66">
        <f t="shared" si="207"/>
        <v>34.239621062100355</v>
      </c>
      <c r="BR257" s="71"/>
      <c r="BS257" s="71"/>
      <c r="BT257" s="71">
        <v>29512.092000000001</v>
      </c>
      <c r="BU257" s="71">
        <v>-2.44991</v>
      </c>
      <c r="BV257" s="71">
        <v>-155.03200000000001</v>
      </c>
      <c r="BY257" s="71"/>
      <c r="BZ257" s="71"/>
      <c r="CA257" s="71"/>
      <c r="CC257" s="71"/>
    </row>
    <row r="258" spans="1:81" x14ac:dyDescent="0.2">
      <c r="A258">
        <f t="shared" si="211"/>
        <v>220000</v>
      </c>
      <c r="B258">
        <f t="shared" si="191"/>
        <v>220</v>
      </c>
      <c r="C258">
        <f t="shared" si="159"/>
        <v>13.721265885738356</v>
      </c>
      <c r="D258">
        <f t="shared" si="160"/>
        <v>1.4978520831957711</v>
      </c>
      <c r="F258">
        <f t="shared" si="161"/>
        <v>1.0520325088091063E-4</v>
      </c>
      <c r="G258">
        <f t="shared" si="162"/>
        <v>4.2210981213416992E-3</v>
      </c>
      <c r="H258">
        <f t="shared" si="163"/>
        <v>-3.1373715518786587</v>
      </c>
      <c r="J258">
        <f t="shared" si="164"/>
        <v>15</v>
      </c>
      <c r="M258">
        <f t="shared" si="165"/>
        <v>1.5334087081590068E-2</v>
      </c>
      <c r="N258">
        <f t="shared" si="166"/>
        <v>-1.5707963250000001</v>
      </c>
      <c r="O258">
        <f t="shared" si="167"/>
        <v>65.196973643294029</v>
      </c>
      <c r="P258">
        <f t="shared" si="168"/>
        <v>1.5554575900713921</v>
      </c>
      <c r="Q258">
        <f t="shared" si="169"/>
        <v>90.325067781931168</v>
      </c>
      <c r="R258">
        <f t="shared" si="170"/>
        <v>1.5597249769029944</v>
      </c>
      <c r="S258">
        <f t="shared" si="171"/>
        <v>0.12089651080438474</v>
      </c>
      <c r="T258">
        <f t="shared" si="172"/>
        <v>-1.4496033587452735</v>
      </c>
      <c r="U258">
        <f t="shared" si="173"/>
        <v>0.99969083721219998</v>
      </c>
      <c r="V258">
        <f t="shared" si="174"/>
        <v>-2.4866793898092831E-2</v>
      </c>
      <c r="X258">
        <f t="shared" si="192"/>
        <v>-12.530245282759971</v>
      </c>
      <c r="Y258">
        <f t="shared" si="175"/>
        <v>-89.931649249095415</v>
      </c>
      <c r="Z258">
        <f t="shared" si="193"/>
        <v>90.068350750904585</v>
      </c>
      <c r="AC258">
        <v>1</v>
      </c>
      <c r="AD258">
        <f t="shared" si="176"/>
        <v>65.18930412456001</v>
      </c>
      <c r="AE258">
        <f t="shared" si="177"/>
        <v>-9.0111225026386256E-5</v>
      </c>
      <c r="AF258">
        <f t="shared" si="178"/>
        <v>3.6230103076860002E-3</v>
      </c>
      <c r="AG258">
        <f t="shared" si="194"/>
        <v>17975.147754668546</v>
      </c>
      <c r="AH258">
        <f t="shared" si="195"/>
        <v>-723.09001678681648</v>
      </c>
      <c r="AJ258">
        <f t="shared" si="179"/>
        <v>18000</v>
      </c>
      <c r="AK258">
        <f t="shared" si="180"/>
        <v>147795.59790071999</v>
      </c>
      <c r="AL258">
        <v>1</v>
      </c>
      <c r="AM258">
        <f t="shared" si="181"/>
        <v>90.319532050440003</v>
      </c>
      <c r="AN258">
        <f t="shared" si="196"/>
        <v>1638.3693236779284</v>
      </c>
      <c r="AO258">
        <f t="shared" si="197"/>
        <v>-181.15273966637392</v>
      </c>
      <c r="AQ258">
        <f t="shared" si="182"/>
        <v>5.1652625761230572E-2</v>
      </c>
      <c r="AR258">
        <f t="shared" si="183"/>
        <v>-22.72715533494145</v>
      </c>
      <c r="AT258">
        <f t="shared" si="209"/>
        <v>-15505.315552684679</v>
      </c>
      <c r="AU258">
        <f t="shared" si="210"/>
        <v>-408561.32468690485</v>
      </c>
      <c r="AV258">
        <f t="shared" si="198"/>
        <v>-1.6087291340568524</v>
      </c>
      <c r="AW258">
        <f t="shared" si="199"/>
        <v>37977.469914276859</v>
      </c>
      <c r="AX258">
        <f t="shared" si="200"/>
        <v>-41541.455372303499</v>
      </c>
      <c r="AY258">
        <f t="shared" si="208"/>
        <v>-0.83018752523611339</v>
      </c>
      <c r="BA258">
        <f t="shared" si="184"/>
        <v>7.2640448111776141</v>
      </c>
      <c r="BB258">
        <f t="shared" si="201"/>
        <v>17.223570292824281</v>
      </c>
      <c r="BC258">
        <f t="shared" si="202"/>
        <v>-0.77854160882073897</v>
      </c>
      <c r="BD258">
        <f t="shared" si="185"/>
        <v>-224.60714841172455</v>
      </c>
      <c r="BF258">
        <f t="shared" si="186"/>
        <v>-16.066137722931849</v>
      </c>
      <c r="BG258">
        <f t="shared" si="187"/>
        <v>-138.54469450412444</v>
      </c>
      <c r="BH258">
        <f t="shared" si="203"/>
        <v>41.455305495875564</v>
      </c>
      <c r="BI258">
        <f t="shared" si="204"/>
        <v>41.455305495875564</v>
      </c>
      <c r="BJ258">
        <f t="shared" si="188"/>
        <v>0</v>
      </c>
      <c r="BK258">
        <f t="shared" si="205"/>
        <v>0</v>
      </c>
      <c r="BM258">
        <f t="shared" si="206"/>
        <v>-33.289708015756133</v>
      </c>
      <c r="BN258">
        <f t="shared" si="189"/>
        <v>-93.937546092399899</v>
      </c>
      <c r="BQ258" s="66">
        <f t="shared" si="207"/>
        <v>34.125531093109416</v>
      </c>
      <c r="BR258" s="71"/>
      <c r="BS258" s="71"/>
      <c r="BT258" s="71">
        <v>30199.517</v>
      </c>
      <c r="BU258" s="71">
        <v>-2.3553299999999999</v>
      </c>
      <c r="BV258" s="71">
        <v>-154.00200000000001</v>
      </c>
      <c r="BY258" s="71"/>
      <c r="BZ258" s="71"/>
      <c r="CA258" s="71"/>
      <c r="CC258" s="71"/>
    </row>
    <row r="259" spans="1:81" x14ac:dyDescent="0.2">
      <c r="A259">
        <f t="shared" si="211"/>
        <v>225000</v>
      </c>
      <c r="B259">
        <f t="shared" si="191"/>
        <v>225</v>
      </c>
      <c r="C259">
        <f t="shared" si="159"/>
        <v>14.031474792083484</v>
      </c>
      <c r="D259">
        <f t="shared" si="160"/>
        <v>1.4994675117504048</v>
      </c>
      <c r="F259">
        <f t="shared" si="161"/>
        <v>1.0057907345628583E-4</v>
      </c>
      <c r="G259">
        <f t="shared" si="162"/>
        <v>4.1272777730486402E-3</v>
      </c>
      <c r="H259">
        <f t="shared" si="163"/>
        <v>-3.1374653722269517</v>
      </c>
      <c r="J259">
        <f t="shared" si="164"/>
        <v>15</v>
      </c>
      <c r="M259">
        <f t="shared" si="165"/>
        <v>1.4993329590888067E-2</v>
      </c>
      <c r="N259">
        <f t="shared" si="166"/>
        <v>-1.5707963250000001</v>
      </c>
      <c r="O259">
        <f t="shared" si="167"/>
        <v>66.678378322670284</v>
      </c>
      <c r="P259">
        <f t="shared" si="168"/>
        <v>1.5557983991940905</v>
      </c>
      <c r="Q259">
        <f t="shared" si="169"/>
        <v>92.377661410475653</v>
      </c>
      <c r="R259">
        <f t="shared" si="170"/>
        <v>1.5599709874614824</v>
      </c>
      <c r="S259">
        <f t="shared" si="171"/>
        <v>0.11824790786618539</v>
      </c>
      <c r="T259">
        <f t="shared" si="172"/>
        <v>-1.4522711022106727</v>
      </c>
      <c r="U259">
        <f t="shared" si="173"/>
        <v>0.99967663155979247</v>
      </c>
      <c r="V259">
        <f t="shared" si="174"/>
        <v>-2.5431707357877947E-2</v>
      </c>
      <c r="X259">
        <f t="shared" si="192"/>
        <v>-12.723894075428108</v>
      </c>
      <c r="Y259">
        <f t="shared" si="175"/>
        <v>-89.996062828232823</v>
      </c>
      <c r="Z259">
        <f t="shared" si="193"/>
        <v>90.003937171767177</v>
      </c>
      <c r="AC259">
        <v>1</v>
      </c>
      <c r="AD259">
        <f t="shared" si="176"/>
        <v>66.670879218300016</v>
      </c>
      <c r="AE259">
        <f t="shared" si="177"/>
        <v>-9.4253734854562069E-5</v>
      </c>
      <c r="AF259">
        <f t="shared" si="178"/>
        <v>3.7053514510425006E-3</v>
      </c>
      <c r="AG259">
        <f t="shared" si="194"/>
        <v>17974.636902958777</v>
      </c>
      <c r="AH259">
        <f t="shared" si="195"/>
        <v>-727.1042157149484</v>
      </c>
      <c r="AJ259">
        <f t="shared" si="179"/>
        <v>18000</v>
      </c>
      <c r="AK259">
        <f t="shared" si="180"/>
        <v>151154.5887621</v>
      </c>
      <c r="AL259">
        <v>1</v>
      </c>
      <c r="AM259">
        <f t="shared" si="181"/>
        <v>92.372248687950005</v>
      </c>
      <c r="AN259">
        <f t="shared" si="196"/>
        <v>1638.2811828122428</v>
      </c>
      <c r="AO259">
        <f t="shared" si="197"/>
        <v>-177.12807742139711</v>
      </c>
      <c r="AQ259">
        <f t="shared" si="182"/>
        <v>4.9382472185322539E-2</v>
      </c>
      <c r="AR259">
        <f t="shared" si="183"/>
        <v>-22.222112483395144</v>
      </c>
      <c r="AT259">
        <f t="shared" si="209"/>
        <v>-15270.159661866755</v>
      </c>
      <c r="AU259">
        <f t="shared" si="210"/>
        <v>-399470.30930944363</v>
      </c>
      <c r="AV259">
        <f t="shared" si="198"/>
        <v>-1.6090037431893265</v>
      </c>
      <c r="AW259">
        <f t="shared" si="199"/>
        <v>38153.903954178728</v>
      </c>
      <c r="AX259">
        <f t="shared" si="200"/>
        <v>-40661.07264678576</v>
      </c>
      <c r="AY259">
        <f t="shared" si="208"/>
        <v>-0.81719825549159408</v>
      </c>
      <c r="BA259">
        <f t="shared" si="184"/>
        <v>7.1694888984116361</v>
      </c>
      <c r="BB259">
        <f t="shared" si="201"/>
        <v>17.109763932013667</v>
      </c>
      <c r="BC259">
        <f t="shared" si="202"/>
        <v>-0.7918054876977324</v>
      </c>
      <c r="BD259">
        <f t="shared" si="185"/>
        <v>-225.36711269221738</v>
      </c>
      <c r="BF259">
        <f t="shared" si="186"/>
        <v>-16.376191868424648</v>
      </c>
      <c r="BG259">
        <f t="shared" si="187"/>
        <v>-139.21747705622187</v>
      </c>
      <c r="BH259">
        <f t="shared" si="203"/>
        <v>40.782522943778133</v>
      </c>
      <c r="BI259">
        <f t="shared" si="204"/>
        <v>40.782522943778133</v>
      </c>
      <c r="BJ259">
        <f t="shared" si="188"/>
        <v>0</v>
      </c>
      <c r="BK259">
        <f t="shared" si="205"/>
        <v>0</v>
      </c>
      <c r="BM259">
        <f t="shared" si="206"/>
        <v>-33.485955800438319</v>
      </c>
      <c r="BN259">
        <f t="shared" si="189"/>
        <v>-93.850364364004477</v>
      </c>
      <c r="BQ259" s="66">
        <f t="shared" si="207"/>
        <v>34.011724732298802</v>
      </c>
      <c r="BR259" s="71"/>
      <c r="BS259" s="71"/>
      <c r="BT259" s="71">
        <v>30902.954000000002</v>
      </c>
      <c r="BU259" s="71">
        <v>-2.2543500000000001</v>
      </c>
      <c r="BV259" s="71">
        <v>-152.994</v>
      </c>
      <c r="BY259" s="71"/>
      <c r="BZ259" s="71"/>
      <c r="CA259" s="71"/>
      <c r="CC259" s="71"/>
    </row>
    <row r="260" spans="1:81" x14ac:dyDescent="0.2">
      <c r="A260">
        <f t="shared" si="211"/>
        <v>230000</v>
      </c>
      <c r="B260">
        <f t="shared" si="191"/>
        <v>230</v>
      </c>
      <c r="C260">
        <f t="shared" si="159"/>
        <v>14.341718731018586</v>
      </c>
      <c r="D260">
        <f t="shared" si="160"/>
        <v>1.5010130534192354</v>
      </c>
      <c r="F260">
        <f t="shared" si="161"/>
        <v>9.6253218296729775E-5</v>
      </c>
      <c r="G260">
        <f t="shared" si="162"/>
        <v>4.0375377169205653E-3</v>
      </c>
      <c r="H260">
        <f t="shared" si="163"/>
        <v>-3.1375551122830796</v>
      </c>
      <c r="J260">
        <f t="shared" si="164"/>
        <v>15</v>
      </c>
      <c r="M260">
        <f t="shared" si="165"/>
        <v>1.4667387643260067E-2</v>
      </c>
      <c r="N260">
        <f t="shared" si="166"/>
        <v>-1.5707963250000001</v>
      </c>
      <c r="O260">
        <f t="shared" si="167"/>
        <v>68.159790410143572</v>
      </c>
      <c r="P260">
        <f t="shared" si="168"/>
        <v>1.5561243937903131</v>
      </c>
      <c r="Q260">
        <f t="shared" si="169"/>
        <v>94.430260386776041</v>
      </c>
      <c r="R260">
        <f t="shared" si="170"/>
        <v>1.5602063031352973</v>
      </c>
      <c r="S260">
        <f t="shared" si="171"/>
        <v>0.11571209696590266</v>
      </c>
      <c r="T260">
        <f t="shared" si="172"/>
        <v>-1.4548244443854343</v>
      </c>
      <c r="U260">
        <f t="shared" si="173"/>
        <v>0.99966210730537819</v>
      </c>
      <c r="V260">
        <f t="shared" si="174"/>
        <v>-2.599660458273104E-2</v>
      </c>
      <c r="X260">
        <f t="shared" si="192"/>
        <v>-12.913361654596194</v>
      </c>
      <c r="Y260">
        <f t="shared" si="175"/>
        <v>-90.059152787727541</v>
      </c>
      <c r="Z260">
        <f t="shared" si="193"/>
        <v>89.940847212272459</v>
      </c>
      <c r="AC260">
        <v>1</v>
      </c>
      <c r="AD260">
        <f t="shared" si="176"/>
        <v>68.152454312040007</v>
      </c>
      <c r="AE260">
        <f t="shared" si="177"/>
        <v>-9.8489334791236236E-5</v>
      </c>
      <c r="AF260">
        <f t="shared" si="178"/>
        <v>3.7876925943990001E-3</v>
      </c>
      <c r="AG260">
        <f t="shared" si="194"/>
        <v>17974.11460145723</v>
      </c>
      <c r="AH260">
        <f t="shared" si="195"/>
        <v>-731.38421915639401</v>
      </c>
      <c r="AJ260">
        <f t="shared" si="179"/>
        <v>18000</v>
      </c>
      <c r="AK260">
        <f t="shared" si="180"/>
        <v>154513.57962348001</v>
      </c>
      <c r="AL260">
        <v>1</v>
      </c>
      <c r="AM260">
        <f t="shared" si="181"/>
        <v>94.424965325459993</v>
      </c>
      <c r="AN260">
        <f t="shared" si="196"/>
        <v>1638.1987266884291</v>
      </c>
      <c r="AO260">
        <f t="shared" si="197"/>
        <v>-173.27834028761782</v>
      </c>
      <c r="AQ260">
        <f t="shared" si="182"/>
        <v>4.7258755865993068E-2</v>
      </c>
      <c r="AR260">
        <f t="shared" si="183"/>
        <v>-21.739027698356814</v>
      </c>
      <c r="AT260">
        <f t="shared" si="209"/>
        <v>-15050.147504524271</v>
      </c>
      <c r="AU260">
        <f t="shared" si="210"/>
        <v>-390774.33948277571</v>
      </c>
      <c r="AV260">
        <f t="shared" si="198"/>
        <v>-1.6092909547632868</v>
      </c>
      <c r="AW260">
        <f t="shared" si="199"/>
        <v>38318.859416428699</v>
      </c>
      <c r="AX260">
        <f t="shared" si="200"/>
        <v>-39820.105353050596</v>
      </c>
      <c r="AY260">
        <f t="shared" si="208"/>
        <v>-0.80460831377895659</v>
      </c>
      <c r="BA260">
        <f t="shared" si="184"/>
        <v>7.0764444173020165</v>
      </c>
      <c r="BB260">
        <f t="shared" si="201"/>
        <v>16.996301996119239</v>
      </c>
      <c r="BC260">
        <f t="shared" si="202"/>
        <v>-0.80468264098433018</v>
      </c>
      <c r="BD260">
        <f t="shared" si="185"/>
        <v>-226.10491922852552</v>
      </c>
      <c r="BF260">
        <f t="shared" si="186"/>
        <v>-16.681543617425149</v>
      </c>
      <c r="BG260">
        <f t="shared" si="187"/>
        <v>-139.87187230421847</v>
      </c>
      <c r="BH260">
        <f t="shared" si="203"/>
        <v>40.128127695781529</v>
      </c>
      <c r="BI260">
        <f t="shared" si="204"/>
        <v>40.128127695781529</v>
      </c>
      <c r="BJ260">
        <f t="shared" si="188"/>
        <v>0</v>
      </c>
      <c r="BK260">
        <f t="shared" si="205"/>
        <v>0</v>
      </c>
      <c r="BM260">
        <f t="shared" si="206"/>
        <v>-33.677845613544392</v>
      </c>
      <c r="BN260">
        <f t="shared" si="189"/>
        <v>-93.766953075692982</v>
      </c>
      <c r="BQ260" s="66">
        <f t="shared" si="207"/>
        <v>33.898262796404374</v>
      </c>
      <c r="BR260" s="71"/>
      <c r="BS260" s="71"/>
      <c r="BT260" s="71">
        <v>31622.776999999998</v>
      </c>
      <c r="BU260" s="71">
        <v>-2.1282199999999998</v>
      </c>
      <c r="BV260" s="71">
        <v>-152.041</v>
      </c>
      <c r="BY260" s="71"/>
      <c r="BZ260" s="71"/>
      <c r="CA260" s="71"/>
      <c r="CC260" s="71"/>
    </row>
    <row r="261" spans="1:81" x14ac:dyDescent="0.2">
      <c r="A261">
        <f t="shared" si="211"/>
        <v>235000</v>
      </c>
      <c r="B261">
        <f t="shared" si="191"/>
        <v>235</v>
      </c>
      <c r="C261">
        <f t="shared" si="159"/>
        <v>14.651995477185094</v>
      </c>
      <c r="D261">
        <f t="shared" si="160"/>
        <v>1.5024931404342967</v>
      </c>
      <c r="F261">
        <f t="shared" si="161"/>
        <v>9.2200564726238271E-5</v>
      </c>
      <c r="G261">
        <f t="shared" si="162"/>
        <v>3.9516174142813247E-3</v>
      </c>
      <c r="H261">
        <f t="shared" si="163"/>
        <v>-3.1376410325857189</v>
      </c>
      <c r="J261">
        <f t="shared" si="164"/>
        <v>15</v>
      </c>
      <c r="M261">
        <f t="shared" si="165"/>
        <v>1.4355315565743893E-2</v>
      </c>
      <c r="N261">
        <f t="shared" si="166"/>
        <v>-1.5707963250000001</v>
      </c>
      <c r="O261">
        <f t="shared" si="167"/>
        <v>69.64120943295741</v>
      </c>
      <c r="P261">
        <f t="shared" si="168"/>
        <v>1.5564365191994354</v>
      </c>
      <c r="Q261">
        <f t="shared" si="169"/>
        <v>96.482864369524123</v>
      </c>
      <c r="R261">
        <f t="shared" si="170"/>
        <v>1.560431606475591</v>
      </c>
      <c r="S261">
        <f t="shared" si="171"/>
        <v>0.11328207026752747</v>
      </c>
      <c r="T261">
        <f t="shared" si="172"/>
        <v>-1.4572705583762395</v>
      </c>
      <c r="U261">
        <f t="shared" si="173"/>
        <v>0.99964726449065144</v>
      </c>
      <c r="V261">
        <f t="shared" si="174"/>
        <v>-2.656148521284029E-2</v>
      </c>
      <c r="X261">
        <f t="shared" si="192"/>
        <v>-13.098823758062149</v>
      </c>
      <c r="Y261">
        <f t="shared" si="175"/>
        <v>-90.120997804023247</v>
      </c>
      <c r="Z261">
        <f t="shared" si="193"/>
        <v>89.879002195976753</v>
      </c>
      <c r="AC261">
        <v>1</v>
      </c>
      <c r="AD261">
        <f t="shared" si="176"/>
        <v>69.634029405780012</v>
      </c>
      <c r="AE261">
        <f t="shared" si="177"/>
        <v>-1.0281802483640868E-4</v>
      </c>
      <c r="AF261">
        <f t="shared" si="178"/>
        <v>3.8700337377555001E-3</v>
      </c>
      <c r="AG261">
        <f t="shared" si="194"/>
        <v>17973.580852162628</v>
      </c>
      <c r="AH261">
        <f t="shared" si="195"/>
        <v>-735.91298563423209</v>
      </c>
      <c r="AJ261">
        <f t="shared" si="179"/>
        <v>18000</v>
      </c>
      <c r="AK261">
        <f t="shared" si="180"/>
        <v>157872.57048485999</v>
      </c>
      <c r="AL261">
        <v>1</v>
      </c>
      <c r="AM261">
        <f t="shared" si="181"/>
        <v>96.477681962969996</v>
      </c>
      <c r="AN261">
        <f t="shared" si="196"/>
        <v>1638.1214767713025</v>
      </c>
      <c r="AO261">
        <f t="shared" si="197"/>
        <v>-169.59236779246729</v>
      </c>
      <c r="AQ261">
        <f t="shared" si="182"/>
        <v>4.526914771775592E-2</v>
      </c>
      <c r="AR261">
        <f t="shared" si="183"/>
        <v>-21.276499427345282</v>
      </c>
      <c r="AT261">
        <f t="shared" si="209"/>
        <v>-14844.003530809116</v>
      </c>
      <c r="AU261">
        <f t="shared" si="210"/>
        <v>-382448.19686203636</v>
      </c>
      <c r="AV261">
        <f t="shared" si="198"/>
        <v>-1.6095899632393136</v>
      </c>
      <c r="AW261">
        <f t="shared" si="199"/>
        <v>38473.300345937459</v>
      </c>
      <c r="AX261">
        <f t="shared" si="200"/>
        <v>-39016.02519376226</v>
      </c>
      <c r="AY261">
        <f t="shared" si="208"/>
        <v>-0.79240191481748179</v>
      </c>
      <c r="BA261">
        <f t="shared" si="184"/>
        <v>6.9849284193800392</v>
      </c>
      <c r="BB261">
        <f t="shared" si="201"/>
        <v>16.883239197615186</v>
      </c>
      <c r="BC261">
        <f t="shared" si="202"/>
        <v>-0.81718804842183179</v>
      </c>
      <c r="BD261">
        <f t="shared" si="185"/>
        <v>-226.82142629660459</v>
      </c>
      <c r="BF261">
        <f t="shared" si="186"/>
        <v>-16.982328480502595</v>
      </c>
      <c r="BG261">
        <f t="shared" si="187"/>
        <v>-140.50849950364687</v>
      </c>
      <c r="BH261">
        <f t="shared" si="203"/>
        <v>39.491500496353126</v>
      </c>
      <c r="BI261">
        <f t="shared" si="204"/>
        <v>39.491500496353126</v>
      </c>
      <c r="BJ261">
        <f t="shared" si="188"/>
        <v>0</v>
      </c>
      <c r="BK261">
        <f t="shared" si="205"/>
        <v>0</v>
      </c>
      <c r="BM261">
        <f t="shared" si="206"/>
        <v>-33.865567678117785</v>
      </c>
      <c r="BN261">
        <f t="shared" si="189"/>
        <v>-93.687073207042289</v>
      </c>
      <c r="BQ261" s="66">
        <f t="shared" si="207"/>
        <v>33.785199997900321</v>
      </c>
      <c r="BR261" s="71"/>
      <c r="BS261" s="71"/>
      <c r="BT261" s="71">
        <v>32359.366000000002</v>
      </c>
      <c r="BU261" s="71">
        <v>-2.03586</v>
      </c>
      <c r="BV261" s="71">
        <v>-151.05000000000001</v>
      </c>
      <c r="BY261" s="71"/>
      <c r="BZ261" s="71"/>
      <c r="CA261" s="71"/>
      <c r="CC261" s="71"/>
    </row>
    <row r="262" spans="1:81" x14ac:dyDescent="0.2">
      <c r="A262">
        <f t="shared" si="211"/>
        <v>240000</v>
      </c>
      <c r="B262">
        <f t="shared" si="191"/>
        <v>240</v>
      </c>
      <c r="C262">
        <f t="shared" si="159"/>
        <v>14.962302989589659</v>
      </c>
      <c r="D262">
        <f t="shared" si="160"/>
        <v>1.5039118385486605</v>
      </c>
      <c r="F262">
        <f t="shared" si="161"/>
        <v>8.8398581685504468E-5</v>
      </c>
      <c r="G262">
        <f t="shared" si="162"/>
        <v>3.8692780475493823E-3</v>
      </c>
      <c r="H262">
        <f t="shared" si="163"/>
        <v>-3.1377233719524509</v>
      </c>
      <c r="J262">
        <f t="shared" si="164"/>
        <v>15</v>
      </c>
      <c r="M262">
        <f t="shared" si="165"/>
        <v>1.4056246491457564E-2</v>
      </c>
      <c r="N262">
        <f t="shared" si="166"/>
        <v>-1.5707963250000001</v>
      </c>
      <c r="O262">
        <f t="shared" si="167"/>
        <v>71.122634957741482</v>
      </c>
      <c r="P262">
        <f t="shared" si="168"/>
        <v>1.5567356420096616</v>
      </c>
      <c r="Q262">
        <f t="shared" si="169"/>
        <v>98.535473045850196</v>
      </c>
      <c r="R262">
        <f t="shared" si="170"/>
        <v>1.5606475231644503</v>
      </c>
      <c r="S262">
        <f t="shared" si="171"/>
        <v>0.11095138494849462</v>
      </c>
      <c r="T262">
        <f t="shared" si="172"/>
        <v>-1.4596160323614622</v>
      </c>
      <c r="U262">
        <f t="shared" si="173"/>
        <v>0.99963210315821849</v>
      </c>
      <c r="V262">
        <f t="shared" si="174"/>
        <v>-2.7126348888457386E-2</v>
      </c>
      <c r="X262">
        <f t="shared" si="192"/>
        <v>-13.280445357674669</v>
      </c>
      <c r="Y262">
        <f t="shared" si="175"/>
        <v>-90.181670563281855</v>
      </c>
      <c r="Z262">
        <f t="shared" si="193"/>
        <v>89.818329436718145</v>
      </c>
      <c r="AC262">
        <v>1</v>
      </c>
      <c r="AD262">
        <f t="shared" si="176"/>
        <v>71.115604499520003</v>
      </c>
      <c r="AE262">
        <f t="shared" si="177"/>
        <v>-1.072398049900795E-4</v>
      </c>
      <c r="AF262">
        <f t="shared" si="178"/>
        <v>3.952374881112E-3</v>
      </c>
      <c r="AG262">
        <f t="shared" si="194"/>
        <v>17973.035657117332</v>
      </c>
      <c r="AH262">
        <f t="shared" si="195"/>
        <v>-740.67489218668891</v>
      </c>
      <c r="AJ262">
        <f t="shared" si="179"/>
        <v>18000</v>
      </c>
      <c r="AK262">
        <f t="shared" si="180"/>
        <v>161231.56134623999</v>
      </c>
      <c r="AL262">
        <v>1</v>
      </c>
      <c r="AM262">
        <f t="shared" si="181"/>
        <v>98.530398600479998</v>
      </c>
      <c r="AN262">
        <f t="shared" si="196"/>
        <v>1638.049003837644</v>
      </c>
      <c r="AO262">
        <f t="shared" si="197"/>
        <v>-166.05992900228301</v>
      </c>
      <c r="AQ262">
        <f t="shared" si="182"/>
        <v>4.3402589398483515E-2</v>
      </c>
      <c r="AR262">
        <f t="shared" si="183"/>
        <v>-20.833242911272087</v>
      </c>
      <c r="AT262">
        <f t="shared" si="209"/>
        <v>-14650.583660335387</v>
      </c>
      <c r="AU262">
        <f t="shared" si="210"/>
        <v>-374468.76490590349</v>
      </c>
      <c r="AV262">
        <f t="shared" si="198"/>
        <v>-1.6099000301493294</v>
      </c>
      <c r="AW262">
        <f t="shared" si="199"/>
        <v>38618.091451297281</v>
      </c>
      <c r="AX262">
        <f t="shared" si="200"/>
        <v>-38246.515795411149</v>
      </c>
      <c r="AY262">
        <f t="shared" si="208"/>
        <v>-0.78056404305551708</v>
      </c>
      <c r="BA262">
        <f t="shared" si="184"/>
        <v>6.8949517858451399</v>
      </c>
      <c r="BB262">
        <f t="shared" si="201"/>
        <v>16.770624672849074</v>
      </c>
      <c r="BC262">
        <f t="shared" si="202"/>
        <v>-0.82933598709381229</v>
      </c>
      <c r="BD262">
        <f t="shared" si="185"/>
        <v>-227.51745191308817</v>
      </c>
      <c r="BF262">
        <f t="shared" si="186"/>
        <v>-17.278675304845596</v>
      </c>
      <c r="BG262">
        <f t="shared" si="187"/>
        <v>-141.12795740388825</v>
      </c>
      <c r="BH262">
        <f t="shared" si="203"/>
        <v>38.872042596111754</v>
      </c>
      <c r="BI262">
        <f t="shared" si="204"/>
        <v>38.872042596111754</v>
      </c>
      <c r="BJ262">
        <f t="shared" si="188"/>
        <v>0</v>
      </c>
      <c r="BK262">
        <f t="shared" si="205"/>
        <v>0</v>
      </c>
      <c r="BM262">
        <f t="shared" si="206"/>
        <v>-34.049299977694673</v>
      </c>
      <c r="BN262">
        <f t="shared" si="189"/>
        <v>-93.610505490800108</v>
      </c>
      <c r="BQ262" s="66">
        <f t="shared" si="207"/>
        <v>33.672585473134205</v>
      </c>
      <c r="BR262" s="71"/>
      <c r="BS262" s="71"/>
      <c r="BT262" s="71">
        <v>33113.112000000001</v>
      </c>
      <c r="BU262" s="71">
        <v>-1.91717</v>
      </c>
      <c r="BV262" s="71">
        <v>-150.17400000000001</v>
      </c>
      <c r="BY262" s="71"/>
      <c r="BZ262" s="71"/>
      <c r="CA262" s="71"/>
      <c r="CC262" s="71"/>
    </row>
    <row r="263" spans="1:81" x14ac:dyDescent="0.2">
      <c r="A263">
        <f t="shared" si="211"/>
        <v>245000</v>
      </c>
      <c r="B263">
        <f t="shared" si="191"/>
        <v>245</v>
      </c>
      <c r="C263">
        <f t="shared" si="159"/>
        <v>15.27263939291905</v>
      </c>
      <c r="D263">
        <f t="shared" si="160"/>
        <v>1.5052728840932552</v>
      </c>
      <c r="F263">
        <f t="shared" si="161"/>
        <v>8.4827013858689268E-5</v>
      </c>
      <c r="G263">
        <f t="shared" si="162"/>
        <v>3.7903003026670953E-3</v>
      </c>
      <c r="H263">
        <f t="shared" si="163"/>
        <v>-3.1378023496973331</v>
      </c>
      <c r="J263">
        <f t="shared" si="164"/>
        <v>15</v>
      </c>
      <c r="M263">
        <f t="shared" si="165"/>
        <v>1.3769384318162513E-2</v>
      </c>
      <c r="N263">
        <f t="shared" si="166"/>
        <v>-1.5707963250000001</v>
      </c>
      <c r="O263">
        <f t="shared" si="167"/>
        <v>72.604066586493957</v>
      </c>
      <c r="P263">
        <f t="shared" si="168"/>
        <v>1.5570225580906432</v>
      </c>
      <c r="Q263">
        <f t="shared" si="169"/>
        <v>100.58808612842166</v>
      </c>
      <c r="R263">
        <f t="shared" si="170"/>
        <v>1.5608546278166533</v>
      </c>
      <c r="S263">
        <f t="shared" si="171"/>
        <v>0.10871410774868247</v>
      </c>
      <c r="T263">
        <f t="shared" si="172"/>
        <v>-1.4618669277809626</v>
      </c>
      <c r="U263">
        <f t="shared" si="173"/>
        <v>0.99961662335159651</v>
      </c>
      <c r="V263">
        <f t="shared" si="174"/>
        <v>-2.7691195249898885E-2</v>
      </c>
      <c r="X263">
        <f t="shared" si="192"/>
        <v>-13.458381515171201</v>
      </c>
      <c r="Y263">
        <f t="shared" si="175"/>
        <v>-90.241238306619948</v>
      </c>
      <c r="Z263">
        <f t="shared" si="193"/>
        <v>89.758761693380052</v>
      </c>
      <c r="AC263">
        <v>1</v>
      </c>
      <c r="AD263">
        <f t="shared" si="176"/>
        <v>72.597179593260009</v>
      </c>
      <c r="AE263">
        <f t="shared" si="177"/>
        <v>-1.1175467525224865E-4</v>
      </c>
      <c r="AF263">
        <f t="shared" si="178"/>
        <v>4.0347160244685E-3</v>
      </c>
      <c r="AG263">
        <f t="shared" si="194"/>
        <v>17972.479018407303</v>
      </c>
      <c r="AH263">
        <f t="shared" si="195"/>
        <v>-745.65558962139755</v>
      </c>
      <c r="AJ263">
        <f t="shared" si="179"/>
        <v>18000</v>
      </c>
      <c r="AK263">
        <f t="shared" si="180"/>
        <v>164590.55220762</v>
      </c>
      <c r="AL263">
        <v>1</v>
      </c>
      <c r="AM263">
        <f t="shared" si="181"/>
        <v>100.58311523799</v>
      </c>
      <c r="AN263">
        <f t="shared" si="196"/>
        <v>1637.9809220019456</v>
      </c>
      <c r="AO263">
        <f t="shared" si="197"/>
        <v>-162.67162773079593</v>
      </c>
      <c r="AQ263">
        <f t="shared" si="182"/>
        <v>4.164913932053594E-2</v>
      </c>
      <c r="AR263">
        <f t="shared" si="183"/>
        <v>-20.40807826706261</v>
      </c>
      <c r="AT263">
        <f t="shared" si="209"/>
        <v>-14468.859350693147</v>
      </c>
      <c r="AU263">
        <f t="shared" si="210"/>
        <v>-366814.81437433412</v>
      </c>
      <c r="AV263">
        <f t="shared" si="198"/>
        <v>-1.6102204772557978</v>
      </c>
      <c r="AW263">
        <f t="shared" si="199"/>
        <v>38754.010138817459</v>
      </c>
      <c r="AX263">
        <f t="shared" si="200"/>
        <v>-37509.450936749323</v>
      </c>
      <c r="AY263">
        <f t="shared" si="208"/>
        <v>-0.76908040493297658</v>
      </c>
      <c r="BA263">
        <f t="shared" si="184"/>
        <v>6.806519971060224</v>
      </c>
      <c r="BB263">
        <f t="shared" si="201"/>
        <v>16.658502462449473</v>
      </c>
      <c r="BC263">
        <f t="shared" si="202"/>
        <v>-0.84114007232282118</v>
      </c>
      <c r="BD263">
        <f t="shared" si="185"/>
        <v>-228.19377617849591</v>
      </c>
      <c r="BF263">
        <f t="shared" si="186"/>
        <v>-17.570706825635888</v>
      </c>
      <c r="BG263">
        <f t="shared" si="187"/>
        <v>-141.73082459523891</v>
      </c>
      <c r="BH263">
        <f t="shared" si="203"/>
        <v>38.269175404761086</v>
      </c>
      <c r="BI263">
        <f t="shared" si="204"/>
        <v>38.269175404761086</v>
      </c>
      <c r="BJ263">
        <f t="shared" si="188"/>
        <v>0</v>
      </c>
      <c r="BK263">
        <f t="shared" si="205"/>
        <v>0</v>
      </c>
      <c r="BM263">
        <f t="shared" si="206"/>
        <v>-34.229209288085357</v>
      </c>
      <c r="BN263">
        <f t="shared" si="189"/>
        <v>-93.537048416743005</v>
      </c>
      <c r="BQ263" s="66">
        <f t="shared" si="207"/>
        <v>33.560463262734608</v>
      </c>
      <c r="BR263" s="71"/>
      <c r="BS263" s="71"/>
      <c r="BT263" s="71">
        <v>33884.415999999997</v>
      </c>
      <c r="BU263" s="71">
        <v>-1.81593</v>
      </c>
      <c r="BV263" s="71">
        <v>-149.483</v>
      </c>
      <c r="BY263" s="71"/>
      <c r="BZ263" s="71"/>
      <c r="CA263" s="71"/>
      <c r="CC263" s="71"/>
    </row>
    <row r="264" spans="1:81" x14ac:dyDescent="0.2">
      <c r="A264">
        <f t="shared" si="211"/>
        <v>250000</v>
      </c>
      <c r="B264">
        <f t="shared" si="191"/>
        <v>250</v>
      </c>
      <c r="C264">
        <f t="shared" si="159"/>
        <v>15.583002961080064</v>
      </c>
      <c r="D264">
        <f t="shared" si="160"/>
        <v>1.5065797166325821</v>
      </c>
      <c r="F264">
        <f t="shared" si="161"/>
        <v>8.1467611304344287E-5</v>
      </c>
      <c r="G264">
        <f t="shared" si="162"/>
        <v>3.7144824177923318E-3</v>
      </c>
      <c r="H264">
        <f t="shared" si="163"/>
        <v>-3.1378781675822078</v>
      </c>
      <c r="J264">
        <f t="shared" si="164"/>
        <v>15</v>
      </c>
      <c r="M264">
        <f t="shared" si="165"/>
        <v>1.349399663179926E-2</v>
      </c>
      <c r="N264">
        <f t="shared" si="166"/>
        <v>-1.5707963250000001</v>
      </c>
      <c r="O264">
        <f t="shared" si="167"/>
        <v>74.085503953045546</v>
      </c>
      <c r="P264">
        <f t="shared" si="168"/>
        <v>1.5572979996626157</v>
      </c>
      <c r="Q264">
        <f t="shared" si="169"/>
        <v>102.6407033528897</v>
      </c>
      <c r="R264">
        <f t="shared" si="170"/>
        <v>1.5610534490853776</v>
      </c>
      <c r="S264">
        <f t="shared" si="171"/>
        <v>0.10656476588151761</v>
      </c>
      <c r="T264">
        <f t="shared" si="172"/>
        <v>-1.4640288307424687</v>
      </c>
      <c r="U264">
        <f t="shared" si="173"/>
        <v>0.99960082511521231</v>
      </c>
      <c r="V264">
        <f t="shared" si="174"/>
        <v>-2.8256023937547586E-2</v>
      </c>
      <c r="X264">
        <f t="shared" si="192"/>
        <v>-13.632778155178119</v>
      </c>
      <c r="Y264">
        <f t="shared" si="175"/>
        <v>-90.299763318677492</v>
      </c>
      <c r="Z264">
        <f t="shared" si="193"/>
        <v>89.700236681322508</v>
      </c>
      <c r="AC264">
        <v>1</v>
      </c>
      <c r="AD264">
        <f t="shared" si="176"/>
        <v>74.078754687000014</v>
      </c>
      <c r="AE264">
        <f t="shared" si="177"/>
        <v>-1.1636263562291615E-4</v>
      </c>
      <c r="AF264">
        <f t="shared" si="178"/>
        <v>4.1170571678250008E-3</v>
      </c>
      <c r="AG264">
        <f t="shared" si="194"/>
        <v>17971.910938162091</v>
      </c>
      <c r="AH264">
        <f t="shared" si="195"/>
        <v>-750.84187513916322</v>
      </c>
      <c r="AJ264">
        <f t="shared" si="179"/>
        <v>18000</v>
      </c>
      <c r="AK264">
        <f t="shared" si="180"/>
        <v>167949.54306899998</v>
      </c>
      <c r="AL264">
        <v>1</v>
      </c>
      <c r="AM264">
        <f t="shared" si="181"/>
        <v>102.63583187549999</v>
      </c>
      <c r="AN264">
        <f t="shared" si="196"/>
        <v>1637.916883569816</v>
      </c>
      <c r="AO264">
        <f t="shared" si="197"/>
        <v>-159.41881911453527</v>
      </c>
      <c r="AQ264">
        <f t="shared" si="182"/>
        <v>3.9999840000639997E-2</v>
      </c>
      <c r="AR264">
        <f t="shared" si="183"/>
        <v>-19.99992000032</v>
      </c>
      <c r="AT264">
        <f t="shared" si="209"/>
        <v>-14297.903873641288</v>
      </c>
      <c r="AU264">
        <f t="shared" si="210"/>
        <v>-359466.81457098911</v>
      </c>
      <c r="AV264">
        <f t="shared" si="198"/>
        <v>-1.6105506805313854</v>
      </c>
      <c r="AW264">
        <f t="shared" si="199"/>
        <v>38881.75687951142</v>
      </c>
      <c r="AX264">
        <f t="shared" si="200"/>
        <v>-36802.875409728753</v>
      </c>
      <c r="AY264">
        <f t="shared" si="208"/>
        <v>-0.75793738538914723</v>
      </c>
      <c r="BA264">
        <f t="shared" si="184"/>
        <v>6.719633668583552</v>
      </c>
      <c r="BB264">
        <f t="shared" si="201"/>
        <v>16.546911949024988</v>
      </c>
      <c r="BC264">
        <f t="shared" si="202"/>
        <v>-0.85261329514223816</v>
      </c>
      <c r="BD264">
        <f t="shared" si="185"/>
        <v>-228.85114342421284</v>
      </c>
      <c r="BF264">
        <f t="shared" si="186"/>
        <v>-17.858540153309143</v>
      </c>
      <c r="BG264">
        <f t="shared" si="187"/>
        <v>-142.31765989665638</v>
      </c>
      <c r="BH264">
        <f t="shared" si="203"/>
        <v>37.68234010334362</v>
      </c>
      <c r="BI264">
        <f t="shared" si="204"/>
        <v>37.68234010334362</v>
      </c>
      <c r="BJ264">
        <f t="shared" si="188"/>
        <v>0</v>
      </c>
      <c r="BK264">
        <f t="shared" si="205"/>
        <v>0</v>
      </c>
      <c r="BM264">
        <f t="shared" si="206"/>
        <v>-34.405452102334131</v>
      </c>
      <c r="BN264">
        <f t="shared" si="189"/>
        <v>-93.466516472443558</v>
      </c>
      <c r="BQ264" s="66">
        <f t="shared" si="207"/>
        <v>33.448872749310127</v>
      </c>
      <c r="BR264" s="71"/>
      <c r="BS264" s="71"/>
      <c r="BT264" s="71">
        <v>34673.684999999998</v>
      </c>
      <c r="BU264" s="71">
        <v>-1.6807799999999999</v>
      </c>
      <c r="BV264" s="71">
        <v>-148.328</v>
      </c>
      <c r="BY264" s="71"/>
      <c r="BZ264" s="71"/>
      <c r="CA264" s="71"/>
      <c r="CC264" s="71"/>
    </row>
    <row r="265" spans="1:81" x14ac:dyDescent="0.2">
      <c r="A265">
        <f t="shared" si="211"/>
        <v>255000</v>
      </c>
      <c r="B265">
        <f t="shared" si="191"/>
        <v>255</v>
      </c>
      <c r="C265">
        <f t="shared" ref="C265:C328" si="212">SQRT((A265/Fesr)^2+1)</f>
        <v>15.89339210266157</v>
      </c>
      <c r="D265">
        <f t="shared" ref="D265:D328" si="213">ATAN(A265/Fesr)</f>
        <v>1.5078355078164933</v>
      </c>
      <c r="F265">
        <f t="shared" ref="F265:F328" si="214">(Ro/(Ro+Rdcr))/SQRT((A265/(Q*Fo))^2+(1-(A265^2/Fo^2))^2)</f>
        <v>7.8303895833074211E-5</v>
      </c>
      <c r="G265">
        <f t="shared" ref="G265:G328" si="215">-ATAN(A265*Fo/(Q*(Fo^2-A265^2)))</f>
        <v>3.6416384616831505E-3</v>
      </c>
      <c r="H265">
        <f t="shared" ref="H265:H328" si="216">IF(G265&gt;0,G265-Pi,G265)</f>
        <v>-3.1379510115383171</v>
      </c>
      <c r="J265">
        <f t="shared" ref="J265:J328" si="217">Vin/Vramp</f>
        <v>15</v>
      </c>
      <c r="M265">
        <f t="shared" ref="M265:M328" si="218">1/(2*Pi*_Rfb1*(Cc1ea_u+Cc2ea_u)*A265)</f>
        <v>1.3229408462548295E-2</v>
      </c>
      <c r="N265">
        <f t="shared" ref="N265:N328" si="219">-Pi/2</f>
        <v>-1.5707963250000001</v>
      </c>
      <c r="O265">
        <f t="shared" ref="O265:O328" si="220">SQRT(1+(A265/Fz1_u)^2)</f>
        <v>75.566946719939565</v>
      </c>
      <c r="P265">
        <f t="shared" ref="P265:P328" si="221">ATAN2(Fz1_u,A265)</f>
        <v>1.5575626415342378</v>
      </c>
      <c r="Q265">
        <f t="shared" ref="Q265:Q328" si="222">SQRT(1+(A265/Fz2_u)^2)</f>
        <v>104.69332447563622</v>
      </c>
      <c r="R265">
        <f t="shared" ref="R265:R328" si="223">ATAN2(Fz2_u,A265)</f>
        <v>1.5612444741673746</v>
      </c>
      <c r="S265">
        <f t="shared" ref="S265:S328" si="224">1/SQRT(1+(A265/Fp1_u)^2)</f>
        <v>0.10449830347723547</v>
      </c>
      <c r="T265">
        <f t="shared" ref="T265:T328" si="225">-ATAN2(Fp1_u,A265)</f>
        <v>-1.4661068975458866</v>
      </c>
      <c r="U265">
        <f t="shared" ref="U265:U328" si="226">1/SQRT(1+(A265/Fp2_u)^2)</f>
        <v>0.99958470849440406</v>
      </c>
      <c r="V265">
        <f t="shared" ref="V265:V328" si="227">-ATAN2(Fp2_u,A265)</f>
        <v>-2.8820834591853903E-2</v>
      </c>
      <c r="X265">
        <f t="shared" si="192"/>
        <v>-13.803772764752884</v>
      </c>
      <c r="Y265">
        <f t="shared" ref="Y265:Y328" si="228">(180/Pi)*(D265+H265+N265+P265+R265+T265+V265)</f>
        <v>-90.357303365995392</v>
      </c>
      <c r="Z265">
        <f t="shared" si="193"/>
        <v>89.642696634004608</v>
      </c>
      <c r="AC265">
        <v>1</v>
      </c>
      <c r="AD265">
        <f t="shared" ref="AD265:AD328" si="229">Rcea1_u*Cc1ea_u*A265*2*Pi</f>
        <v>75.560329780740005</v>
      </c>
      <c r="AE265">
        <f t="shared" ref="AE265:AE328" si="230">-Rcea1_u*Cc1ea_u*Cc2ea_u*(A265*2*Pi)^2</f>
        <v>-1.2106368610208193E-4</v>
      </c>
      <c r="AF265">
        <f t="shared" ref="AF265:AF328" si="231">(Cc2ea_u+Cc1ea_u)*A265*2*Pi</f>
        <v>4.1993983111815007E-3</v>
      </c>
      <c r="AG265">
        <f t="shared" si="194"/>
        <v>17971.331418554815</v>
      </c>
      <c r="AH265">
        <f t="shared" si="195"/>
        <v>-756.22157994318161</v>
      </c>
      <c r="AJ265">
        <f t="shared" ref="AJ265:AJ328" si="232">_Rfb1</f>
        <v>18000</v>
      </c>
      <c r="AK265">
        <f t="shared" ref="AK265:AK328" si="233">_Rfb1*Rcea2_u*Cc3ea_u*A265*2*Pi</f>
        <v>171308.53393038001</v>
      </c>
      <c r="AL265">
        <v>1</v>
      </c>
      <c r="AM265">
        <f t="shared" ref="AM265:AM328" si="234">(_Rfb1+Rcea2_u)*Cc3ea_u*A265*2*Pi</f>
        <v>104.68854851301001</v>
      </c>
      <c r="AN265">
        <f t="shared" si="196"/>
        <v>1637.8565745905596</v>
      </c>
      <c r="AO265">
        <f t="shared" si="197"/>
        <v>-156.29353599621319</v>
      </c>
      <c r="AQ265">
        <f t="shared" ref="AQ265:AQ328" si="235">Eadcg/(1+(Eadcg*A265/GBP)^2)</f>
        <v>3.8446603434819551E-2</v>
      </c>
      <c r="AR265">
        <f t="shared" ref="AR265:AR328" si="236">-(A265*Eadcg*Eadcg/GBP)/(1+(Eadcg*A265/GBP)^2)</f>
        <v>-19.607767751757972</v>
      </c>
      <c r="AT265">
        <f t="shared" si="209"/>
        <v>-14136.880456148489</v>
      </c>
      <c r="AU265">
        <f t="shared" si="210"/>
        <v>-352406.76679608686</v>
      </c>
      <c r="AV265">
        <f t="shared" si="198"/>
        <v>-1.6108900648465374</v>
      </c>
      <c r="AW265">
        <f t="shared" si="199"/>
        <v>39001.964167818885</v>
      </c>
      <c r="AX265">
        <f t="shared" si="200"/>
        <v>-36124.988148587203</v>
      </c>
      <c r="AY265">
        <f t="shared" si="208"/>
        <v>-0.74712200805514639</v>
      </c>
      <c r="BA265">
        <f t="shared" ref="BA265:BA328" si="237">SQRT(AT265^2+AU265^2)/SQRT(AW265^2+AX265^2)</f>
        <v>6.6342894076016616</v>
      </c>
      <c r="BB265">
        <f t="shared" si="201"/>
        <v>16.435888256490905</v>
      </c>
      <c r="BC265">
        <f t="shared" si="202"/>
        <v>-0.86376805679139101</v>
      </c>
      <c r="BD265">
        <f t="shared" ref="BD265:BD328" si="238">BC265*180/Pi-180</f>
        <v>-229.49026418891398</v>
      </c>
      <c r="BF265">
        <f t="shared" ref="BF265:BF328" si="239">20*LOG(BA265*J265*F265*C265)</f>
        <v>-18.142287205404592</v>
      </c>
      <c r="BG265">
        <f t="shared" ref="BG265:BG328" si="240">(180/Pi)*(D265+H265+BC265)</f>
        <v>-142.88900277774033</v>
      </c>
      <c r="BH265">
        <f t="shared" si="203"/>
        <v>37.11099722225967</v>
      </c>
      <c r="BI265">
        <f t="shared" si="204"/>
        <v>37.11099722225967</v>
      </c>
      <c r="BJ265">
        <f t="shared" ref="BJ265:BJ328" si="241">SUM((BF266&lt;0)*(BF265&gt;0))*A265</f>
        <v>0</v>
      </c>
      <c r="BK265">
        <f t="shared" si="205"/>
        <v>0</v>
      </c>
      <c r="BM265">
        <f t="shared" si="206"/>
        <v>-34.578175461895498</v>
      </c>
      <c r="BN265">
        <f t="shared" ref="BN265:BN328" si="242">(H265+D265)*180/Pi</f>
        <v>-93.398738588826362</v>
      </c>
      <c r="BQ265" s="66">
        <f t="shared" si="207"/>
        <v>33.337849056776044</v>
      </c>
      <c r="BR265" s="71"/>
      <c r="BS265" s="71"/>
      <c r="BT265" s="71">
        <v>35481.339</v>
      </c>
      <c r="BU265" s="71">
        <v>-1.5620799999999999</v>
      </c>
      <c r="BV265" s="71">
        <v>-147.47</v>
      </c>
      <c r="BY265" s="71"/>
      <c r="BZ265" s="71"/>
      <c r="CA265" s="71"/>
      <c r="CC265" s="71"/>
    </row>
    <row r="266" spans="1:81" x14ac:dyDescent="0.2">
      <c r="A266">
        <f t="shared" si="211"/>
        <v>260000</v>
      </c>
      <c r="B266">
        <f t="shared" ref="B266:B329" si="243">A266/1000</f>
        <v>260</v>
      </c>
      <c r="C266">
        <f t="shared" si="212"/>
        <v>16.203805348062179</v>
      </c>
      <c r="D266">
        <f t="shared" si="213"/>
        <v>1.5090431869344834</v>
      </c>
      <c r="F266">
        <f t="shared" si="214"/>
        <v>7.5320958532844423E-5</v>
      </c>
      <c r="G266">
        <f t="shared" si="215"/>
        <v>3.5715968108363028E-3</v>
      </c>
      <c r="H266">
        <f t="shared" si="216"/>
        <v>-3.1380210531891639</v>
      </c>
      <c r="J266">
        <f t="shared" si="217"/>
        <v>15</v>
      </c>
      <c r="M266">
        <f t="shared" si="218"/>
        <v>1.2974996761345444E-2</v>
      </c>
      <c r="N266">
        <f t="shared" si="219"/>
        <v>-1.5707963250000001</v>
      </c>
      <c r="O266">
        <f t="shared" si="220"/>
        <v>77.048394575671892</v>
      </c>
      <c r="P266">
        <f t="shared" si="221"/>
        <v>1.5578171066209787</v>
      </c>
      <c r="Q266">
        <f t="shared" si="222"/>
        <v>106.74594927178089</v>
      </c>
      <c r="R266">
        <f t="shared" si="223"/>
        <v>1.5614281527884271</v>
      </c>
      <c r="S266">
        <f t="shared" si="224"/>
        <v>0.1025100428489671</v>
      </c>
      <c r="T266">
        <f t="shared" si="225"/>
        <v>-1.4681058950930952</v>
      </c>
      <c r="U266">
        <f t="shared" si="226"/>
        <v>0.99956827353541855</v>
      </c>
      <c r="V266">
        <f t="shared" si="227"/>
        <v>-2.9385626853337232E-2</v>
      </c>
      <c r="X266">
        <f t="shared" ref="X266:X329" si="244">20*LOG(C266*J266*O266*Q266*F266*M266*S266*U266)</f>
        <v>-13.971495027639072</v>
      </c>
      <c r="Y266">
        <f t="shared" si="228"/>
        <v>-90.41391209089673</v>
      </c>
      <c r="Z266">
        <f t="shared" ref="Z266:Z329" si="245">Y266+180</f>
        <v>89.58608790910327</v>
      </c>
      <c r="AC266">
        <v>1</v>
      </c>
      <c r="AD266">
        <f t="shared" si="229"/>
        <v>77.041904874480011</v>
      </c>
      <c r="AE266">
        <f t="shared" si="230"/>
        <v>-1.2585782668974609E-4</v>
      </c>
      <c r="AF266">
        <f t="shared" si="231"/>
        <v>4.2817394545379998E-3</v>
      </c>
      <c r="AG266">
        <f t="shared" ref="AG266:AG329" si="246">AC266*AE266/(AE266^2+AF266^2)+AD266*AF266/(AE266^2+AF266^2)</f>
        <v>17970.740461802161</v>
      </c>
      <c r="AH266">
        <f t="shared" ref="AH266:AH329" si="247">AD266*AE266/(AE266^2+AF266^2)-AC266*AF266/(AE266^2+AF266^2)</f>
        <v>-761.78346981643881</v>
      </c>
      <c r="AJ266">
        <f t="shared" si="232"/>
        <v>18000</v>
      </c>
      <c r="AK266">
        <f t="shared" si="233"/>
        <v>174667.52479175999</v>
      </c>
      <c r="AL266">
        <v>1</v>
      </c>
      <c r="AM266">
        <f t="shared" si="234"/>
        <v>106.74126515051999</v>
      </c>
      <c r="AN266">
        <f t="shared" ref="AN266:AN329" si="248">AJ266*AL266/(AL266^2+AM266^2)+AK266*AM266/(AL266^2+AM266^2)</f>
        <v>1637.799711002443</v>
      </c>
      <c r="AO266">
        <f t="shared" ref="AO266:AO329" si="249">AK266*AL266/(AL266^2+AM266^2)-AJ266*AM266/(AL266^2+AM266^2)</f>
        <v>-153.28842379678173</v>
      </c>
      <c r="AQ266">
        <f t="shared" si="235"/>
        <v>3.6982111752545295E-2</v>
      </c>
      <c r="AR266">
        <f t="shared" si="236"/>
        <v>-19.230698111323552</v>
      </c>
      <c r="AT266">
        <f t="shared" si="209"/>
        <v>-13985.032002202137</v>
      </c>
      <c r="AU266">
        <f t="shared" si="210"/>
        <v>-345618.05701927654</v>
      </c>
      <c r="AV266">
        <f t="shared" ref="AV266:AV329" si="250">ATAN2(AT266,AU266)</f>
        <v>-1.6112380992697264</v>
      </c>
      <c r="AW266">
        <f t="shared" ref="AW266:AW329" si="251">AG266-AH266*AO266/_Rfb2+AG266*AN266/_Rfb2+AN266-AO266*AR266+AQ266*AN266</f>
        <v>39115.204286515705</v>
      </c>
      <c r="AX266">
        <f t="shared" ref="AX266:AX329" si="252">AH266+AH266*AN266/_Rfb2+AG266*AO266/_Rfb2+AO266+AO266*AQ266+AN266*AR266</f>
        <v>-35474.127319290856</v>
      </c>
      <c r="AY266">
        <f t="shared" si="208"/>
        <v>-0.73662189866526473</v>
      </c>
      <c r="BA266">
        <f t="shared" si="237"/>
        <v>6.5504800867843018</v>
      </c>
      <c r="BB266">
        <f t="shared" ref="BB266:BB329" si="253">20*LOG(BA266)</f>
        <v>16.325462614799292</v>
      </c>
      <c r="BC266">
        <f t="shared" ref="BC266:BC329" si="254">AV266-AY266</f>
        <v>-0.87461620060446166</v>
      </c>
      <c r="BD266">
        <f t="shared" si="238"/>
        <v>-230.11181704566411</v>
      </c>
      <c r="BF266">
        <f t="shared" si="239"/>
        <v>-18.422055090441567</v>
      </c>
      <c r="BG266">
        <f t="shared" si="240"/>
        <v>-143.44537380893271</v>
      </c>
      <c r="BH266">
        <f t="shared" ref="BH266:BH329" si="255">IF(BG266&gt;180,BG266-180,BG266+180)</f>
        <v>36.554626191067285</v>
      </c>
      <c r="BI266">
        <f t="shared" ref="BI266:BI329" si="256">IF(BH266&gt;180,BH266-360,BH266)</f>
        <v>36.554626191067285</v>
      </c>
      <c r="BJ266">
        <f t="shared" si="241"/>
        <v>0</v>
      </c>
      <c r="BK266">
        <f t="shared" ref="BK266:BK329" si="257">IF(BJ266&gt;0,BI266,0)</f>
        <v>0</v>
      </c>
      <c r="BM266">
        <f t="shared" ref="BM266:BM329" si="258">20*LOG(J266*F266*C266)</f>
        <v>-34.74751770524086</v>
      </c>
      <c r="BN266">
        <f t="shared" si="242"/>
        <v>-93.333556763268618</v>
      </c>
      <c r="BQ266" s="66">
        <f t="shared" ref="BQ266:BQ329" si="259">20*LOG(BA266*7)</f>
        <v>33.227423415084431</v>
      </c>
      <c r="BR266" s="71"/>
      <c r="BS266" s="71"/>
      <c r="BT266" s="71">
        <v>36307.805</v>
      </c>
      <c r="BU266" s="71">
        <v>-1.4274800000000001</v>
      </c>
      <c r="BV266" s="71">
        <v>-146.52500000000001</v>
      </c>
      <c r="BY266" s="71"/>
      <c r="BZ266" s="71"/>
      <c r="CA266" s="71"/>
      <c r="CC266" s="71"/>
    </row>
    <row r="267" spans="1:81" x14ac:dyDescent="0.2">
      <c r="A267">
        <f t="shared" si="211"/>
        <v>265000</v>
      </c>
      <c r="B267">
        <f t="shared" si="243"/>
        <v>265</v>
      </c>
      <c r="C267">
        <f t="shared" si="212"/>
        <v>16.514241338065144</v>
      </c>
      <c r="D267">
        <f t="shared" si="213"/>
        <v>1.5102054636034059</v>
      </c>
      <c r="F267">
        <f t="shared" si="214"/>
        <v>7.2505283784668681E-5</v>
      </c>
      <c r="G267">
        <f t="shared" si="215"/>
        <v>3.5041987991135232E-3</v>
      </c>
      <c r="H267">
        <f t="shared" si="216"/>
        <v>-3.1380884512008866</v>
      </c>
      <c r="J267">
        <f t="shared" si="217"/>
        <v>15</v>
      </c>
      <c r="M267">
        <f t="shared" si="218"/>
        <v>1.2730185501697418E-2</v>
      </c>
      <c r="N267">
        <f t="shared" si="219"/>
        <v>-1.5707963250000001</v>
      </c>
      <c r="O267">
        <f t="shared" si="220"/>
        <v>78.529847232243171</v>
      </c>
      <c r="P267">
        <f t="shared" si="221"/>
        <v>1.5580619708390335</v>
      </c>
      <c r="Q267">
        <f t="shared" si="222"/>
        <v>108.79857753341358</v>
      </c>
      <c r="R267">
        <f t="shared" si="223"/>
        <v>1.5616049007377208</v>
      </c>
      <c r="S267">
        <f t="shared" si="224"/>
        <v>0.10059564997371472</v>
      </c>
      <c r="T267">
        <f t="shared" si="225"/>
        <v>-1.47003023683884</v>
      </c>
      <c r="U267">
        <f t="shared" si="226"/>
        <v>0.99955152028541239</v>
      </c>
      <c r="V267">
        <f t="shared" si="227"/>
        <v>-2.9950400362587313E-2</v>
      </c>
      <c r="X267">
        <f t="shared" si="244"/>
        <v>-14.136067400370102</v>
      </c>
      <c r="Y267">
        <f t="shared" si="228"/>
        <v>-90.46963936587629</v>
      </c>
      <c r="Z267">
        <f t="shared" si="245"/>
        <v>89.53036063412371</v>
      </c>
      <c r="AC267">
        <v>1</v>
      </c>
      <c r="AD267">
        <f t="shared" si="229"/>
        <v>78.523479968220016</v>
      </c>
      <c r="AE267">
        <f t="shared" si="230"/>
        <v>-1.3074505738590859E-4</v>
      </c>
      <c r="AF267">
        <f t="shared" si="231"/>
        <v>4.3640805978944998E-3</v>
      </c>
      <c r="AG267">
        <f t="shared" si="246"/>
        <v>17970.138070164299</v>
      </c>
      <c r="AH267">
        <f t="shared" si="247"/>
        <v>-767.51715695451185</v>
      </c>
      <c r="AJ267">
        <f t="shared" si="232"/>
        <v>18000</v>
      </c>
      <c r="AK267">
        <f t="shared" si="233"/>
        <v>178026.51565314</v>
      </c>
      <c r="AL267">
        <v>1</v>
      </c>
      <c r="AM267">
        <f t="shared" si="234"/>
        <v>108.79398178803</v>
      </c>
      <c r="AN267">
        <f t="shared" si="248"/>
        <v>1637.7460352820699</v>
      </c>
      <c r="AO267">
        <f t="shared" si="249"/>
        <v>-150.39668275583034</v>
      </c>
      <c r="AQ267">
        <f t="shared" si="235"/>
        <v>3.559973086603465E-2</v>
      </c>
      <c r="AR267">
        <f t="shared" si="236"/>
        <v>-18.867857358998364</v>
      </c>
      <c r="AT267">
        <f t="shared" si="209"/>
        <v>-13841.672159078356</v>
      </c>
      <c r="AU267">
        <f t="shared" si="210"/>
        <v>-339085.32523358881</v>
      </c>
      <c r="AV267">
        <f t="shared" si="250"/>
        <v>-1.6115942928994968</v>
      </c>
      <c r="AW267">
        <f t="shared" si="251"/>
        <v>39221.996056213779</v>
      </c>
      <c r="AX267">
        <f t="shared" si="252"/>
        <v>-34848.757108407626</v>
      </c>
      <c r="AY267">
        <f t="shared" ref="AY267:AY330" si="260">ATAN2(AW267,AX267)</f>
        <v>-0.72642525129850355</v>
      </c>
      <c r="BA267">
        <f t="shared" si="237"/>
        <v>6.4681954518477589</v>
      </c>
      <c r="BB267">
        <f t="shared" si="253"/>
        <v>16.215662693383827</v>
      </c>
      <c r="BC267">
        <f t="shared" si="254"/>
        <v>-0.8851690416009933</v>
      </c>
      <c r="BD267">
        <f t="shared" si="238"/>
        <v>-230.71645029732889</v>
      </c>
      <c r="BF267">
        <f t="shared" si="239"/>
        <v>-18.697946450188695</v>
      </c>
      <c r="BG267">
        <f t="shared" si="240"/>
        <v>-143.98727513438931</v>
      </c>
      <c r="BH267">
        <f t="shared" si="255"/>
        <v>36.012724865610693</v>
      </c>
      <c r="BI267">
        <f t="shared" si="256"/>
        <v>36.012724865610693</v>
      </c>
      <c r="BJ267">
        <f t="shared" si="241"/>
        <v>0</v>
      </c>
      <c r="BK267">
        <f t="shared" si="257"/>
        <v>0</v>
      </c>
      <c r="BM267">
        <f t="shared" si="258"/>
        <v>-34.913609143572522</v>
      </c>
      <c r="BN267">
        <f t="shared" si="242"/>
        <v>-93.270824837060431</v>
      </c>
      <c r="BQ267" s="66">
        <f t="shared" si="259"/>
        <v>33.117623493668958</v>
      </c>
      <c r="BR267" s="71"/>
      <c r="BS267" s="71"/>
      <c r="BT267" s="71">
        <v>37153.523000000001</v>
      </c>
      <c r="BU267" s="71">
        <v>-1.30297</v>
      </c>
      <c r="BV267" s="71">
        <v>-145.744</v>
      </c>
      <c r="BY267" s="71"/>
      <c r="BZ267" s="71"/>
      <c r="CA267" s="71"/>
      <c r="CC267" s="71"/>
    </row>
    <row r="268" spans="1:81" x14ac:dyDescent="0.2">
      <c r="A268">
        <f t="shared" si="211"/>
        <v>270000</v>
      </c>
      <c r="B268">
        <f t="shared" si="243"/>
        <v>270</v>
      </c>
      <c r="C268">
        <f t="shared" si="212"/>
        <v>16.824698813674466</v>
      </c>
      <c r="D268">
        <f t="shared" si="213"/>
        <v>1.5113248479564452</v>
      </c>
      <c r="F268">
        <f t="shared" si="214"/>
        <v>6.9844595880443489E-5</v>
      </c>
      <c r="G268">
        <f t="shared" si="215"/>
        <v>3.4392975174833318E-3</v>
      </c>
      <c r="H268">
        <f t="shared" si="216"/>
        <v>-3.1381533524825169</v>
      </c>
      <c r="J268">
        <f t="shared" si="217"/>
        <v>15</v>
      </c>
      <c r="M268">
        <f t="shared" si="218"/>
        <v>1.2494441325740057E-2</v>
      </c>
      <c r="N268">
        <f t="shared" si="219"/>
        <v>-1.5707963250000001</v>
      </c>
      <c r="O268">
        <f t="shared" si="220"/>
        <v>80.01130442298296</v>
      </c>
      <c r="P268">
        <f t="shared" si="221"/>
        <v>1.5582977674556802</v>
      </c>
      <c r="Q268">
        <f t="shared" si="222"/>
        <v>110.85120906802332</v>
      </c>
      <c r="R268">
        <f t="shared" si="223"/>
        <v>1.561775103009583</v>
      </c>
      <c r="S268">
        <f t="shared" si="224"/>
        <v>9.8751103665761897E-2</v>
      </c>
      <c r="T268">
        <f t="shared" si="225"/>
        <v>-1.4718840148443639</v>
      </c>
      <c r="U268">
        <f t="shared" si="226"/>
        <v>0.99953444879245157</v>
      </c>
      <c r="V268">
        <f t="shared" si="227"/>
        <v>-3.0515154760265607E-2</v>
      </c>
      <c r="X268">
        <f t="shared" si="244"/>
        <v>-14.297605636468722</v>
      </c>
      <c r="Y268">
        <f t="shared" si="228"/>
        <v>-90.524531612899864</v>
      </c>
      <c r="Z268">
        <f t="shared" si="245"/>
        <v>89.475468387100136</v>
      </c>
      <c r="AC268">
        <v>1</v>
      </c>
      <c r="AD268">
        <f t="shared" si="229"/>
        <v>80.005055061960007</v>
      </c>
      <c r="AE268">
        <f t="shared" si="230"/>
        <v>-1.3572537819056939E-4</v>
      </c>
      <c r="AF268">
        <f t="shared" si="231"/>
        <v>4.4464217412510006E-3</v>
      </c>
      <c r="AG268">
        <f t="shared" si="246"/>
        <v>17969.524245944933</v>
      </c>
      <c r="AH268">
        <f t="shared" si="247"/>
        <v>-773.41302159474026</v>
      </c>
      <c r="AJ268">
        <f t="shared" si="232"/>
        <v>18000</v>
      </c>
      <c r="AK268">
        <f t="shared" si="233"/>
        <v>181385.50651452001</v>
      </c>
      <c r="AL268">
        <v>1</v>
      </c>
      <c r="AM268">
        <f t="shared" si="234"/>
        <v>110.84669842554001</v>
      </c>
      <c r="AN268">
        <f t="shared" si="248"/>
        <v>1637.6953135239171</v>
      </c>
      <c r="AO268">
        <f t="shared" si="249"/>
        <v>-147.61201658583698</v>
      </c>
      <c r="AQ268">
        <f t="shared" si="235"/>
        <v>3.4293435207698189E-2</v>
      </c>
      <c r="AR268">
        <f t="shared" si="236"/>
        <v>-18.518455012157023</v>
      </c>
      <c r="AT268">
        <f t="shared" si="209"/>
        <v>-13706.177530777153</v>
      </c>
      <c r="AU268">
        <f t="shared" si="210"/>
        <v>-332794.34932774096</v>
      </c>
      <c r="AV268">
        <f t="shared" si="250"/>
        <v>-1.6119581911594083</v>
      </c>
      <c r="AW268">
        <f t="shared" si="251"/>
        <v>39322.810718412438</v>
      </c>
      <c r="AX268">
        <f t="shared" si="252"/>
        <v>-34247.455989467315</v>
      </c>
      <c r="AY268">
        <f t="shared" si="260"/>
        <v>-0.71652079712439398</v>
      </c>
      <c r="BA268">
        <f t="shared" si="237"/>
        <v>6.3874225224684613</v>
      </c>
      <c r="BB268">
        <f t="shared" si="253"/>
        <v>16.106512906241722</v>
      </c>
      <c r="BC268">
        <f t="shared" si="254"/>
        <v>-0.89543739403501432</v>
      </c>
      <c r="BD268">
        <f t="shared" si="238"/>
        <v>-231.30478355502345</v>
      </c>
      <c r="BF268">
        <f t="shared" si="239"/>
        <v>-18.970059765779251</v>
      </c>
      <c r="BG268">
        <f t="shared" si="240"/>
        <v>-144.51519096245511</v>
      </c>
      <c r="BH268">
        <f t="shared" si="255"/>
        <v>35.484809037544892</v>
      </c>
      <c r="BI268">
        <f t="shared" si="256"/>
        <v>35.484809037544892</v>
      </c>
      <c r="BJ268">
        <f t="shared" si="241"/>
        <v>0</v>
      </c>
      <c r="BK268">
        <f t="shared" si="257"/>
        <v>0</v>
      </c>
      <c r="BM268">
        <f t="shared" si="258"/>
        <v>-35.076572672020973</v>
      </c>
      <c r="BN268">
        <f t="shared" si="242"/>
        <v>-93.210407407431674</v>
      </c>
      <c r="BQ268" s="66">
        <f t="shared" si="259"/>
        <v>33.008473706526857</v>
      </c>
      <c r="BR268" s="71"/>
      <c r="BS268" s="71"/>
      <c r="BT268" s="71">
        <v>38018.94</v>
      </c>
      <c r="BU268" s="71">
        <v>-1.18652</v>
      </c>
      <c r="BV268" s="71">
        <v>-144.86799999999999</v>
      </c>
      <c r="BY268" s="71"/>
      <c r="BZ268" s="71"/>
      <c r="CA268" s="71"/>
      <c r="CC268" s="71"/>
    </row>
    <row r="269" spans="1:81" x14ac:dyDescent="0.2">
      <c r="A269">
        <f t="shared" si="211"/>
        <v>275000</v>
      </c>
      <c r="B269">
        <f t="shared" si="243"/>
        <v>275</v>
      </c>
      <c r="C269">
        <f t="shared" si="212"/>
        <v>17.135176607052706</v>
      </c>
      <c r="D269">
        <f t="shared" si="213"/>
        <v>1.5124036686482503</v>
      </c>
      <c r="F269">
        <f t="shared" si="214"/>
        <v>6.7327724985173824E-5</v>
      </c>
      <c r="G269">
        <f t="shared" si="215"/>
        <v>3.3767567447622856E-3</v>
      </c>
      <c r="H269">
        <f t="shared" si="216"/>
        <v>-3.138215893255238</v>
      </c>
      <c r="J269">
        <f t="shared" si="217"/>
        <v>15</v>
      </c>
      <c r="M269">
        <f t="shared" si="218"/>
        <v>1.2267269665272055E-2</v>
      </c>
      <c r="N269">
        <f t="shared" si="219"/>
        <v>-1.5707963250000001</v>
      </c>
      <c r="O269">
        <f t="shared" si="220"/>
        <v>81.492765900611317</v>
      </c>
      <c r="P269">
        <f t="shared" si="221"/>
        <v>1.5585249909652303</v>
      </c>
      <c r="Q269">
        <f t="shared" si="222"/>
        <v>112.90384369709847</v>
      </c>
      <c r="R269">
        <f t="shared" si="223"/>
        <v>1.5619391166025558</v>
      </c>
      <c r="S269">
        <f t="shared" si="224"/>
        <v>9.6972667992348702E-2</v>
      </c>
      <c r="T269">
        <f t="shared" si="225"/>
        <v>-1.4736710284162768</v>
      </c>
      <c r="U269">
        <f t="shared" si="226"/>
        <v>0.99951705910551003</v>
      </c>
      <c r="V269">
        <f t="shared" si="227"/>
        <v>-3.1079889687106659E-2</v>
      </c>
      <c r="X269">
        <f t="shared" si="244"/>
        <v>-14.456219264224412</v>
      </c>
      <c r="Y269">
        <f t="shared" si="228"/>
        <v>-90.578632091485602</v>
      </c>
      <c r="Z269">
        <f t="shared" si="245"/>
        <v>89.421367908514398</v>
      </c>
      <c r="AC269">
        <v>1</v>
      </c>
      <c r="AD269">
        <f t="shared" si="229"/>
        <v>81.486630155700013</v>
      </c>
      <c r="AE269">
        <f t="shared" si="230"/>
        <v>-1.4079878910372852E-4</v>
      </c>
      <c r="AF269">
        <f t="shared" si="231"/>
        <v>4.5287628846075005E-3</v>
      </c>
      <c r="AG269">
        <f t="shared" si="246"/>
        <v>17968.89899149126</v>
      </c>
      <c r="AH269">
        <f t="shared" si="247"/>
        <v>-779.46214219495766</v>
      </c>
      <c r="AJ269">
        <f t="shared" si="232"/>
        <v>18000</v>
      </c>
      <c r="AK269">
        <f t="shared" si="233"/>
        <v>184744.49737589998</v>
      </c>
      <c r="AL269">
        <v>1</v>
      </c>
      <c r="AM269">
        <f t="shared" si="234"/>
        <v>112.89941506305</v>
      </c>
      <c r="AN269">
        <f t="shared" si="248"/>
        <v>1637.6473328880475</v>
      </c>
      <c r="AO269">
        <f t="shared" si="249"/>
        <v>-144.92858672451231</v>
      </c>
      <c r="AQ269">
        <f t="shared" si="235"/>
        <v>3.3057741957877827E-2</v>
      </c>
      <c r="AR269">
        <f t="shared" si="236"/>
        <v>-18.181758076832804</v>
      </c>
      <c r="AT269">
        <f t="shared" si="209"/>
        <v>-13577.98087331068</v>
      </c>
      <c r="AU269">
        <f t="shared" si="210"/>
        <v>-326731.94162870164</v>
      </c>
      <c r="AV269">
        <f t="shared" si="250"/>
        <v>-1.6123293724969896</v>
      </c>
      <c r="AW269">
        <f t="shared" si="251"/>
        <v>39418.077076922018</v>
      </c>
      <c r="AX269">
        <f t="shared" si="252"/>
        <v>-33668.906277408816</v>
      </c>
      <c r="AY269">
        <f t="shared" si="260"/>
        <v>-0.70689777537840626</v>
      </c>
      <c r="BA269">
        <f t="shared" si="237"/>
        <v>6.3081459736190642</v>
      </c>
      <c r="BB269">
        <f t="shared" si="253"/>
        <v>15.998034691246865</v>
      </c>
      <c r="BC269">
        <f t="shared" si="254"/>
        <v>-0.90543159711858334</v>
      </c>
      <c r="BD269">
        <f t="shared" si="238"/>
        <v>-231.87740921196291</v>
      </c>
      <c r="BF269">
        <f t="shared" si="239"/>
        <v>-19.2384896323506</v>
      </c>
      <c r="BG269">
        <f t="shared" si="240"/>
        <v>-145.02958806916064</v>
      </c>
      <c r="BH269">
        <f t="shared" si="255"/>
        <v>34.970411930839362</v>
      </c>
      <c r="BI269">
        <f t="shared" si="256"/>
        <v>34.970411930839362</v>
      </c>
      <c r="BJ269">
        <f t="shared" si="241"/>
        <v>0</v>
      </c>
      <c r="BK269">
        <f t="shared" si="257"/>
        <v>0</v>
      </c>
      <c r="BM269">
        <f t="shared" si="258"/>
        <v>-35.236524323597465</v>
      </c>
      <c r="BN269">
        <f t="shared" si="242"/>
        <v>-93.152178857197711</v>
      </c>
      <c r="BQ269" s="66">
        <f t="shared" si="259"/>
        <v>32.899995491532003</v>
      </c>
      <c r="BR269" s="71"/>
      <c r="BS269" s="71"/>
      <c r="BT269" s="71">
        <v>38904.514000000003</v>
      </c>
      <c r="BU269" s="71">
        <v>-1.0515600000000001</v>
      </c>
      <c r="BV269" s="71">
        <v>-144.06</v>
      </c>
      <c r="BY269" s="71"/>
      <c r="BZ269" s="71"/>
      <c r="CA269" s="71"/>
      <c r="CC269" s="71"/>
    </row>
    <row r="270" spans="1:81" x14ac:dyDescent="0.2">
      <c r="A270">
        <f t="shared" si="211"/>
        <v>280000</v>
      </c>
      <c r="B270">
        <f t="shared" si="243"/>
        <v>280</v>
      </c>
      <c r="C270">
        <f t="shared" si="212"/>
        <v>17.44567363342389</v>
      </c>
      <c r="D270">
        <f t="shared" si="213"/>
        <v>1.5134440889466456</v>
      </c>
      <c r="F270">
        <f t="shared" si="214"/>
        <v>6.4944489704733043E-5</v>
      </c>
      <c r="G270">
        <f t="shared" si="215"/>
        <v>3.3164499929720821E-3</v>
      </c>
      <c r="H270">
        <f t="shared" si="216"/>
        <v>-3.1382762000070281</v>
      </c>
      <c r="J270">
        <f t="shared" si="217"/>
        <v>15</v>
      </c>
      <c r="M270">
        <f t="shared" si="218"/>
        <v>1.2048211278392198E-2</v>
      </c>
      <c r="N270">
        <f t="shared" si="219"/>
        <v>-1.5707963250000001</v>
      </c>
      <c r="O270">
        <f t="shared" si="220"/>
        <v>82.974231435507761</v>
      </c>
      <c r="P270">
        <f t="shared" si="221"/>
        <v>1.558744100549847</v>
      </c>
      <c r="Q270">
        <f t="shared" si="222"/>
        <v>114.95648125487702</v>
      </c>
      <c r="R270">
        <f t="shared" si="223"/>
        <v>1.5620972730186222</v>
      </c>
      <c r="S270">
        <f t="shared" si="224"/>
        <v>9.5256867542734325E-2</v>
      </c>
      <c r="T270">
        <f t="shared" si="225"/>
        <v>-1.4753948097463032</v>
      </c>
      <c r="U270">
        <f t="shared" si="226"/>
        <v>0.99949935127447065</v>
      </c>
      <c r="V270">
        <f t="shared" si="227"/>
        <v>-3.1644604783919457E-2</v>
      </c>
      <c r="X270">
        <f t="shared" si="244"/>
        <v>-14.612012022870385</v>
      </c>
      <c r="Y270">
        <f t="shared" si="228"/>
        <v>-90.63198115897822</v>
      </c>
      <c r="Z270">
        <f t="shared" si="245"/>
        <v>89.36801884102178</v>
      </c>
      <c r="AC270">
        <v>1</v>
      </c>
      <c r="AD270">
        <f t="shared" si="229"/>
        <v>82.968205249440004</v>
      </c>
      <c r="AE270">
        <f t="shared" si="230"/>
        <v>-1.45965290125386E-4</v>
      </c>
      <c r="AF270">
        <f t="shared" si="231"/>
        <v>4.6111040279640005E-3</v>
      </c>
      <c r="AG270">
        <f t="shared" si="246"/>
        <v>17968.262309193909</v>
      </c>
      <c r="AH270">
        <f t="shared" si="247"/>
        <v>-785.65623309308057</v>
      </c>
      <c r="AJ270">
        <f t="shared" si="232"/>
        <v>18000</v>
      </c>
      <c r="AK270">
        <f t="shared" si="233"/>
        <v>188103.48823727999</v>
      </c>
      <c r="AL270">
        <v>1</v>
      </c>
      <c r="AM270">
        <f t="shared" si="234"/>
        <v>114.95213170055999</v>
      </c>
      <c r="AN270">
        <f t="shared" si="248"/>
        <v>1637.6018993638972</v>
      </c>
      <c r="AO270">
        <f t="shared" si="249"/>
        <v>-142.34097148592846</v>
      </c>
      <c r="AQ270">
        <f t="shared" si="235"/>
        <v>3.1887653419472514E-2</v>
      </c>
      <c r="AR270">
        <f t="shared" si="236"/>
        <v>-17.857085914904609</v>
      </c>
      <c r="AT270">
        <f t="shared" si="209"/>
        <v>-13456.565132857715</v>
      </c>
      <c r="AU270">
        <f t="shared" si="210"/>
        <v>-320885.85653048562</v>
      </c>
      <c r="AV270">
        <f t="shared" si="250"/>
        <v>-1.6127074454362282</v>
      </c>
      <c r="AW270">
        <f t="shared" si="251"/>
        <v>39508.186002610142</v>
      </c>
      <c r="AX270">
        <f t="shared" si="252"/>
        <v>-33111.884808984352</v>
      </c>
      <c r="AY270">
        <f t="shared" si="260"/>
        <v>-0.69754590633416924</v>
      </c>
      <c r="BA270">
        <f t="shared" si="237"/>
        <v>6.2303484758931349</v>
      </c>
      <c r="BB270">
        <f t="shared" si="253"/>
        <v>15.890246766008364</v>
      </c>
      <c r="BC270">
        <f t="shared" si="254"/>
        <v>-0.915161539102059</v>
      </c>
      <c r="BD270">
        <f t="shared" si="238"/>
        <v>-232.43489382316025</v>
      </c>
      <c r="BF270">
        <f t="shared" si="239"/>
        <v>-19.50332700622452</v>
      </c>
      <c r="BG270">
        <f t="shared" si="240"/>
        <v>-145.53091631062972</v>
      </c>
      <c r="BH270">
        <f t="shared" si="255"/>
        <v>34.469083689370279</v>
      </c>
      <c r="BI270">
        <f t="shared" si="256"/>
        <v>34.469083689370279</v>
      </c>
      <c r="BJ270">
        <f t="shared" si="241"/>
        <v>0</v>
      </c>
      <c r="BK270">
        <f t="shared" si="257"/>
        <v>0</v>
      </c>
      <c r="BM270">
        <f t="shared" si="258"/>
        <v>-35.393573772232884</v>
      </c>
      <c r="BN270">
        <f t="shared" si="242"/>
        <v>-93.096022487469483</v>
      </c>
      <c r="BQ270" s="66">
        <f t="shared" si="259"/>
        <v>32.792207566293499</v>
      </c>
      <c r="BR270" s="71"/>
      <c r="BS270" s="71"/>
      <c r="BT270" s="71">
        <v>39810.716999999997</v>
      </c>
      <c r="BU270" s="71">
        <v>-0.92721699999999996</v>
      </c>
      <c r="BV270" s="71">
        <v>-143.22999999999999</v>
      </c>
      <c r="BY270" s="71"/>
      <c r="BZ270" s="71"/>
      <c r="CA270" s="71"/>
      <c r="CC270" s="71"/>
    </row>
    <row r="271" spans="1:81" x14ac:dyDescent="0.2">
      <c r="A271">
        <f t="shared" si="211"/>
        <v>285000</v>
      </c>
      <c r="B271">
        <f t="shared" si="243"/>
        <v>285</v>
      </c>
      <c r="C271">
        <f t="shared" si="212"/>
        <v>17.756188883823718</v>
      </c>
      <c r="D271">
        <f t="shared" si="213"/>
        <v>1.5144481211437668</v>
      </c>
      <c r="F271">
        <f t="shared" si="214"/>
        <v>6.2685593948961263E-5</v>
      </c>
      <c r="G271">
        <f t="shared" si="215"/>
        <v>3.2582596532297445E-3</v>
      </c>
      <c r="H271">
        <f t="shared" si="216"/>
        <v>-3.1383343903467704</v>
      </c>
      <c r="J271">
        <f t="shared" si="217"/>
        <v>15</v>
      </c>
      <c r="M271">
        <f t="shared" si="218"/>
        <v>1.1836839150701106E-2</v>
      </c>
      <c r="N271">
        <f t="shared" si="219"/>
        <v>-1.5707963250000001</v>
      </c>
      <c r="O271">
        <f t="shared" si="220"/>
        <v>84.45570081416264</v>
      </c>
      <c r="P271">
        <f t="shared" si="221"/>
        <v>1.5589555231761913</v>
      </c>
      <c r="Q271">
        <f t="shared" si="222"/>
        <v>117.00912158722825</v>
      </c>
      <c r="R271">
        <f t="shared" si="223"/>
        <v>1.5622498804994058</v>
      </c>
      <c r="S271">
        <f t="shared" si="224"/>
        <v>9.3600465213887166E-2</v>
      </c>
      <c r="T271">
        <f t="shared" si="225"/>
        <v>-1.4770586469109104</v>
      </c>
      <c r="U271">
        <f t="shared" si="226"/>
        <v>0.99948132535012346</v>
      </c>
      <c r="V271">
        <f t="shared" si="227"/>
        <v>-3.2209299691588818E-2</v>
      </c>
      <c r="X271">
        <f t="shared" si="244"/>
        <v>-14.765082261410495</v>
      </c>
      <c r="Y271">
        <f t="shared" si="228"/>
        <v>-90.684616506020589</v>
      </c>
      <c r="Z271">
        <f t="shared" si="245"/>
        <v>89.315383493979411</v>
      </c>
      <c r="AC271">
        <v>1</v>
      </c>
      <c r="AD271">
        <f t="shared" si="229"/>
        <v>84.449780343180009</v>
      </c>
      <c r="AE271">
        <f t="shared" si="230"/>
        <v>-1.5122488125554183E-4</v>
      </c>
      <c r="AF271">
        <f t="shared" si="231"/>
        <v>4.6934451713205004E-3</v>
      </c>
      <c r="AG271">
        <f t="shared" si="246"/>
        <v>17967.614201486962</v>
      </c>
      <c r="AH271">
        <f t="shared" si="247"/>
        <v>-791.98758872886401</v>
      </c>
      <c r="AJ271">
        <f t="shared" si="232"/>
        <v>18000</v>
      </c>
      <c r="AK271">
        <f t="shared" si="233"/>
        <v>191462.47909866</v>
      </c>
      <c r="AL271">
        <v>1</v>
      </c>
      <c r="AM271">
        <f t="shared" si="234"/>
        <v>117.00484833807</v>
      </c>
      <c r="AN271">
        <f t="shared" si="248"/>
        <v>1637.5588358061855</v>
      </c>
      <c r="AO271">
        <f t="shared" si="249"/>
        <v>-139.84412950920384</v>
      </c>
      <c r="AQ271">
        <f t="shared" si="235"/>
        <v>3.0778606406259137E-2</v>
      </c>
      <c r="AR271">
        <f t="shared" si="236"/>
        <v>-17.543805651567709</v>
      </c>
      <c r="AT271">
        <f t="shared" si="209"/>
        <v>-13341.458209545848</v>
      </c>
      <c r="AU271">
        <f t="shared" si="210"/>
        <v>-315244.70784750732</v>
      </c>
      <c r="AV271">
        <f t="shared" si="250"/>
        <v>-1.6130920459401989</v>
      </c>
      <c r="AW271">
        <f t="shared" si="251"/>
        <v>39593.494390004533</v>
      </c>
      <c r="AX271">
        <f t="shared" si="252"/>
        <v>-32575.254609917385</v>
      </c>
      <c r="AY271">
        <f t="shared" si="260"/>
        <v>-0.68845536607409197</v>
      </c>
      <c r="BA271">
        <f t="shared" si="237"/>
        <v>6.1540109989327307</v>
      </c>
      <c r="BB271">
        <f t="shared" si="253"/>
        <v>15.783165362348139</v>
      </c>
      <c r="BC271">
        <f t="shared" si="254"/>
        <v>-0.92463667986610698</v>
      </c>
      <c r="BD271">
        <f t="shared" si="238"/>
        <v>-232.97777939985289</v>
      </c>
      <c r="BF271">
        <f t="shared" si="239"/>
        <v>-19.764659428082233</v>
      </c>
      <c r="BG271">
        <f t="shared" si="240"/>
        <v>-146.01960914074581</v>
      </c>
      <c r="BH271">
        <f t="shared" si="255"/>
        <v>33.980390859254186</v>
      </c>
      <c r="BI271">
        <f t="shared" si="256"/>
        <v>33.980390859254186</v>
      </c>
      <c r="BJ271">
        <f t="shared" si="241"/>
        <v>0</v>
      </c>
      <c r="BK271">
        <f t="shared" si="257"/>
        <v>0</v>
      </c>
      <c r="BM271">
        <f t="shared" si="258"/>
        <v>-35.547824790430369</v>
      </c>
      <c r="BN271">
        <f t="shared" si="242"/>
        <v>-93.041829740892936</v>
      </c>
      <c r="BQ271" s="66">
        <f t="shared" si="259"/>
        <v>32.685126162633281</v>
      </c>
      <c r="BR271" s="71"/>
      <c r="BS271" s="71"/>
      <c r="BT271" s="71">
        <v>40738.027999999998</v>
      </c>
      <c r="BU271" s="71">
        <v>-0.80365399999999998</v>
      </c>
      <c r="BV271" s="71">
        <v>-142.31399999999999</v>
      </c>
      <c r="BY271" s="71"/>
      <c r="BZ271" s="71"/>
      <c r="CA271" s="71"/>
      <c r="CC271" s="71"/>
    </row>
    <row r="272" spans="1:81" x14ac:dyDescent="0.2">
      <c r="A272">
        <f t="shared" si="211"/>
        <v>290000</v>
      </c>
      <c r="B272">
        <f t="shared" si="243"/>
        <v>290</v>
      </c>
      <c r="C272">
        <f t="shared" si="212"/>
        <v>18.066721418595471</v>
      </c>
      <c r="D272">
        <f t="shared" si="213"/>
        <v>1.5154176394876731</v>
      </c>
      <c r="F272">
        <f t="shared" si="214"/>
        <v>6.0542536135298081E-5</v>
      </c>
      <c r="G272">
        <f t="shared" si="215"/>
        <v>3.20207623003159E-3</v>
      </c>
      <c r="H272">
        <f t="shared" si="216"/>
        <v>-3.1383905737699687</v>
      </c>
      <c r="J272">
        <f t="shared" si="217"/>
        <v>15</v>
      </c>
      <c r="M272">
        <f t="shared" si="218"/>
        <v>1.1632755717068328E-2</v>
      </c>
      <c r="N272">
        <f t="shared" si="219"/>
        <v>-1.5707963250000001</v>
      </c>
      <c r="O272">
        <f t="shared" si="220"/>
        <v>85.937173837788521</v>
      </c>
      <c r="P272">
        <f t="shared" si="221"/>
        <v>1.5591596563718357</v>
      </c>
      <c r="Q272">
        <f t="shared" si="222"/>
        <v>119.06176455065017</v>
      </c>
      <c r="R272">
        <f t="shared" si="223"/>
        <v>1.5623972260310772</v>
      </c>
      <c r="S272">
        <f t="shared" si="224"/>
        <v>9.2000442220475001E-2</v>
      </c>
      <c r="T272">
        <f t="shared" si="225"/>
        <v>-1.4786656045416733</v>
      </c>
      <c r="U272">
        <f t="shared" si="226"/>
        <v>0.99946298138416623</v>
      </c>
      <c r="V272">
        <f t="shared" si="227"/>
        <v>-3.2773974051076724E-2</v>
      </c>
      <c r="X272">
        <f t="shared" si="244"/>
        <v>-14.915523303850659</v>
      </c>
      <c r="Y272">
        <f t="shared" si="228"/>
        <v>-90.73657336987462</v>
      </c>
      <c r="Z272">
        <f t="shared" si="245"/>
        <v>89.26342663012538</v>
      </c>
      <c r="AC272">
        <v>1</v>
      </c>
      <c r="AD272">
        <f t="shared" si="229"/>
        <v>85.931355436920015</v>
      </c>
      <c r="AE272">
        <f t="shared" si="230"/>
        <v>-1.5657756249419597E-4</v>
      </c>
      <c r="AF272">
        <f t="shared" si="231"/>
        <v>4.7757863146770003E-3</v>
      </c>
      <c r="AG272">
        <f t="shared" si="246"/>
        <v>17966.95467084791</v>
      </c>
      <c r="AH272">
        <f t="shared" si="247"/>
        <v>-798.44903363583057</v>
      </c>
      <c r="AJ272">
        <f t="shared" si="232"/>
        <v>18000</v>
      </c>
      <c r="AK272">
        <f t="shared" si="233"/>
        <v>194821.46996003998</v>
      </c>
      <c r="AL272">
        <v>1</v>
      </c>
      <c r="AM272">
        <f t="shared" si="234"/>
        <v>119.05756497558001</v>
      </c>
      <c r="AN272">
        <f t="shared" si="248"/>
        <v>1637.5179802057478</v>
      </c>
      <c r="AO272">
        <f t="shared" si="249"/>
        <v>-137.4333669863849</v>
      </c>
      <c r="AQ272">
        <f t="shared" si="235"/>
        <v>2.9726427686005689E-2</v>
      </c>
      <c r="AR272">
        <f t="shared" si="236"/>
        <v>-17.241328057883301</v>
      </c>
      <c r="AT272">
        <f t="shared" si="209"/>
        <v>-13232.228347654551</v>
      </c>
      <c r="AU272">
        <f t="shared" si="210"/>
        <v>-309797.89471866685</v>
      </c>
      <c r="AV272">
        <f t="shared" si="250"/>
        <v>-1.613482835046417</v>
      </c>
      <c r="AW272">
        <f t="shared" si="251"/>
        <v>39674.328640672713</v>
      </c>
      <c r="AX272">
        <f t="shared" si="252"/>
        <v>-32057.957428951817</v>
      </c>
      <c r="AY272">
        <f t="shared" si="260"/>
        <v>-0.67961676288828232</v>
      </c>
      <c r="BA272">
        <f t="shared" si="237"/>
        <v>6.0791130816683818</v>
      </c>
      <c r="BB272">
        <f t="shared" si="253"/>
        <v>15.676804441262796</v>
      </c>
      <c r="BC272">
        <f t="shared" si="254"/>
        <v>-0.93386607215813466</v>
      </c>
      <c r="BD272">
        <f t="shared" si="238"/>
        <v>-233.50658462626089</v>
      </c>
      <c r="BF272">
        <f t="shared" si="239"/>
        <v>-20.022571225107107</v>
      </c>
      <c r="BG272">
        <f t="shared" si="240"/>
        <v>-146.49608413085554</v>
      </c>
      <c r="BH272">
        <f t="shared" si="255"/>
        <v>33.503915869144464</v>
      </c>
      <c r="BI272">
        <f t="shared" si="256"/>
        <v>33.503915869144464</v>
      </c>
      <c r="BJ272">
        <f t="shared" si="241"/>
        <v>0</v>
      </c>
      <c r="BK272">
        <f t="shared" si="257"/>
        <v>0</v>
      </c>
      <c r="BM272">
        <f t="shared" si="258"/>
        <v>-35.699375666369903</v>
      </c>
      <c r="BN272">
        <f t="shared" si="242"/>
        <v>-92.989499504594662</v>
      </c>
      <c r="BQ272" s="66">
        <f t="shared" si="259"/>
        <v>32.578765241547927</v>
      </c>
      <c r="BR272" s="71"/>
      <c r="BS272" s="71"/>
      <c r="BT272" s="71">
        <v>41686.938000000002</v>
      </c>
      <c r="BU272" s="71">
        <v>-0.666377</v>
      </c>
      <c r="BV272" s="71">
        <v>-141.465</v>
      </c>
      <c r="BY272" s="71"/>
      <c r="BZ272" s="71"/>
      <c r="CA272" s="71"/>
      <c r="CC272" s="71"/>
    </row>
    <row r="273" spans="1:81" x14ac:dyDescent="0.2">
      <c r="A273">
        <f t="shared" si="211"/>
        <v>295000</v>
      </c>
      <c r="B273">
        <f t="shared" si="243"/>
        <v>295</v>
      </c>
      <c r="C273">
        <f t="shared" si="212"/>
        <v>18.37727036154379</v>
      </c>
      <c r="D273">
        <f t="shared" si="213"/>
        <v>1.5163543918084936</v>
      </c>
      <c r="F273">
        <f t="shared" si="214"/>
        <v>5.8507529073811618E-5</v>
      </c>
      <c r="G273">
        <f t="shared" si="215"/>
        <v>3.1477976534386534E-3</v>
      </c>
      <c r="H273">
        <f t="shared" si="216"/>
        <v>-3.1384448523465616</v>
      </c>
      <c r="J273">
        <f t="shared" si="217"/>
        <v>15</v>
      </c>
      <c r="M273">
        <f t="shared" si="218"/>
        <v>1.1435590365931577E-2</v>
      </c>
      <c r="N273">
        <f t="shared" si="219"/>
        <v>-1.5707963250000001</v>
      </c>
      <c r="O273">
        <f t="shared" si="220"/>
        <v>87.418650321072747</v>
      </c>
      <c r="P273">
        <f t="shared" si="221"/>
        <v>1.5593568707194181</v>
      </c>
      <c r="Q273">
        <f t="shared" si="222"/>
        <v>121.11441001136888</v>
      </c>
      <c r="R273">
        <f t="shared" si="223"/>
        <v>1.5625395771454071</v>
      </c>
      <c r="S273">
        <f t="shared" si="224"/>
        <v>9.0453980074807303E-2</v>
      </c>
      <c r="T273">
        <f t="shared" si="225"/>
        <v>-1.4802185424362302</v>
      </c>
      <c r="U273">
        <f t="shared" si="226"/>
        <v>0.99944431942920398</v>
      </c>
      <c r="V273">
        <f t="shared" si="227"/>
        <v>-3.3338627503423722E-2</v>
      </c>
      <c r="X273">
        <f t="shared" si="244"/>
        <v>-15.063423784158376</v>
      </c>
      <c r="Y273">
        <f t="shared" si="228"/>
        <v>-90.787884727932948</v>
      </c>
      <c r="Z273">
        <f t="shared" si="245"/>
        <v>89.212115272067052</v>
      </c>
      <c r="AC273">
        <v>1</v>
      </c>
      <c r="AD273">
        <f t="shared" si="229"/>
        <v>87.412930530660006</v>
      </c>
      <c r="AE273">
        <f t="shared" si="230"/>
        <v>-1.6202333384134841E-4</v>
      </c>
      <c r="AF273">
        <f t="shared" si="231"/>
        <v>4.8581274580335003E-3</v>
      </c>
      <c r="AG273">
        <f t="shared" si="246"/>
        <v>17966.283719797644</v>
      </c>
      <c r="AH273">
        <f t="shared" si="247"/>
        <v>-805.03387751877858</v>
      </c>
      <c r="AJ273">
        <f t="shared" si="232"/>
        <v>18000</v>
      </c>
      <c r="AK273">
        <f t="shared" si="233"/>
        <v>198180.46082142001</v>
      </c>
      <c r="AL273">
        <v>1</v>
      </c>
      <c r="AM273">
        <f t="shared" si="234"/>
        <v>121.11028161309</v>
      </c>
      <c r="AN273">
        <f t="shared" si="248"/>
        <v>1637.4791841637234</v>
      </c>
      <c r="AO273">
        <f t="shared" si="249"/>
        <v>-135.10430822140671</v>
      </c>
      <c r="AQ273">
        <f t="shared" si="235"/>
        <v>2.8727294664479562E-2</v>
      </c>
      <c r="AR273">
        <f t="shared" si="236"/>
        <v>-16.949103852042942</v>
      </c>
      <c r="AT273">
        <f t="shared" si="209"/>
        <v>-13128.480068034327</v>
      </c>
      <c r="AU273">
        <f t="shared" si="210"/>
        <v>-304535.53504753305</v>
      </c>
      <c r="AV273">
        <f t="shared" si="250"/>
        <v>-1.6138794967425745</v>
      </c>
      <c r="AW273">
        <f t="shared" si="251"/>
        <v>39750.98773697373</v>
      </c>
      <c r="AX273">
        <f t="shared" si="252"/>
        <v>-31559.007035297145</v>
      </c>
      <c r="AY273">
        <f t="shared" si="260"/>
        <v>-0.67102111515499641</v>
      </c>
      <c r="BA273">
        <f t="shared" si="237"/>
        <v>6.0056330727173242</v>
      </c>
      <c r="BB273">
        <f t="shared" si="253"/>
        <v>15.571175890052844</v>
      </c>
      <c r="BC273">
        <f t="shared" si="254"/>
        <v>-0.94285838158757806</v>
      </c>
      <c r="BD273">
        <f t="shared" si="238"/>
        <v>-234.02180600523243</v>
      </c>
      <c r="BF273">
        <f t="shared" si="239"/>
        <v>-20.277143694657717</v>
      </c>
      <c r="BG273">
        <f t="shared" si="240"/>
        <v>-146.96074348869394</v>
      </c>
      <c r="BH273">
        <f t="shared" si="255"/>
        <v>33.039256511306064</v>
      </c>
      <c r="BI273">
        <f t="shared" si="256"/>
        <v>33.039256511306064</v>
      </c>
      <c r="BJ273">
        <f t="shared" si="241"/>
        <v>0</v>
      </c>
      <c r="BK273">
        <f t="shared" si="257"/>
        <v>0</v>
      </c>
      <c r="BM273">
        <f t="shared" si="258"/>
        <v>-35.848319584710559</v>
      </c>
      <c r="BN273">
        <f t="shared" si="242"/>
        <v>-92.93893748346153</v>
      </c>
      <c r="BQ273" s="66">
        <f t="shared" si="259"/>
        <v>32.473136690337981</v>
      </c>
      <c r="BR273" s="71"/>
      <c r="BS273" s="71"/>
      <c r="BT273" s="71">
        <v>42657.951999999997</v>
      </c>
      <c r="BU273" s="71">
        <v>-0.55182299999999995</v>
      </c>
      <c r="BV273" s="71">
        <v>-140.39099999999999</v>
      </c>
      <c r="BY273" s="71"/>
      <c r="BZ273" s="71"/>
      <c r="CA273" s="71"/>
      <c r="CC273" s="71"/>
    </row>
    <row r="274" spans="1:81" x14ac:dyDescent="0.2">
      <c r="A274">
        <f t="shared" si="211"/>
        <v>300000</v>
      </c>
      <c r="B274">
        <f t="shared" si="243"/>
        <v>300</v>
      </c>
      <c r="C274">
        <f t="shared" si="212"/>
        <v>18.68783489466993</v>
      </c>
      <c r="D274">
        <f t="shared" si="213"/>
        <v>1.5172600099901654</v>
      </c>
      <c r="F274">
        <f t="shared" si="214"/>
        <v>5.6573429121284299E-5</v>
      </c>
      <c r="G274">
        <f t="shared" si="215"/>
        <v>3.0953286600708635E-3</v>
      </c>
      <c r="H274">
        <f t="shared" si="216"/>
        <v>-3.1384973213399294</v>
      </c>
      <c r="J274">
        <f t="shared" si="217"/>
        <v>15</v>
      </c>
      <c r="M274">
        <f t="shared" si="218"/>
        <v>1.124499719316605E-2</v>
      </c>
      <c r="N274">
        <f t="shared" si="219"/>
        <v>-1.5707963250000001</v>
      </c>
      <c r="O274">
        <f t="shared" si="220"/>
        <v>88.900130091054905</v>
      </c>
      <c r="P274">
        <f t="shared" si="221"/>
        <v>1.5595475121014601</v>
      </c>
      <c r="Q274">
        <f t="shared" si="222"/>
        <v>123.16705784452797</v>
      </c>
      <c r="R274">
        <f t="shared" si="223"/>
        <v>1.5626771835407429</v>
      </c>
      <c r="S274">
        <f t="shared" si="224"/>
        <v>8.8958444314928456E-2</v>
      </c>
      <c r="T274">
        <f t="shared" si="225"/>
        <v>-1.4817201323446263</v>
      </c>
      <c r="U274">
        <f t="shared" si="226"/>
        <v>0.99942533953874813</v>
      </c>
      <c r="V274">
        <f t="shared" si="227"/>
        <v>-3.3903259689750234E-2</v>
      </c>
      <c r="X274">
        <f t="shared" si="244"/>
        <v>-15.208867953898313</v>
      </c>
      <c r="Y274">
        <f t="shared" si="228"/>
        <v>-90.838581473492042</v>
      </c>
      <c r="Z274">
        <f t="shared" si="245"/>
        <v>89.161418526507958</v>
      </c>
      <c r="AC274">
        <v>1</v>
      </c>
      <c r="AD274">
        <f t="shared" si="229"/>
        <v>88.894505624400011</v>
      </c>
      <c r="AE274">
        <f t="shared" si="230"/>
        <v>-1.6756219529699923E-4</v>
      </c>
      <c r="AF274">
        <f t="shared" si="231"/>
        <v>4.9404686013900002E-3</v>
      </c>
      <c r="AG274">
        <f t="shared" si="246"/>
        <v>17965.601350900408</v>
      </c>
      <c r="AH274">
        <f t="shared" si="247"/>
        <v>-811.73587482355299</v>
      </c>
      <c r="AJ274">
        <f t="shared" si="232"/>
        <v>18000</v>
      </c>
      <c r="AK274">
        <f t="shared" si="233"/>
        <v>201539.45168279999</v>
      </c>
      <c r="AL274">
        <v>1</v>
      </c>
      <c r="AM274">
        <f t="shared" si="234"/>
        <v>123.16299825059998</v>
      </c>
      <c r="AN274">
        <f t="shared" si="248"/>
        <v>1637.4423115422107</v>
      </c>
      <c r="AO274">
        <f t="shared" si="249"/>
        <v>-132.85286913172462</v>
      </c>
      <c r="AQ274">
        <f t="shared" si="235"/>
        <v>2.7777700617498284E-2</v>
      </c>
      <c r="AR274">
        <f t="shared" si="236"/>
        <v>-16.666620370498972</v>
      </c>
      <c r="AT274">
        <f t="shared" si="209"/>
        <v>-13029.850571060397</v>
      </c>
      <c r="AU274">
        <f t="shared" si="210"/>
        <v>-299448.4055992919</v>
      </c>
      <c r="AV274">
        <f t="shared" si="250"/>
        <v>-1.6142817360546238</v>
      </c>
      <c r="AW274">
        <f t="shared" si="251"/>
        <v>39823.745960320775</v>
      </c>
      <c r="AX274">
        <f t="shared" si="252"/>
        <v>-31077.483189867638</v>
      </c>
      <c r="AY274">
        <f t="shared" si="260"/>
        <v>-0.6626598305752156</v>
      </c>
      <c r="BA274">
        <f t="shared" si="237"/>
        <v>5.9335483439585097</v>
      </c>
      <c r="BB274">
        <f t="shared" si="253"/>
        <v>15.466289703142618</v>
      </c>
      <c r="BC274">
        <f t="shared" si="254"/>
        <v>-0.95162190547940817</v>
      </c>
      <c r="BD274">
        <f t="shared" si="238"/>
        <v>-234.5239189384701</v>
      </c>
      <c r="BF274">
        <f t="shared" si="239"/>
        <v>-20.528455271683029</v>
      </c>
      <c r="BG274">
        <f t="shared" si="240"/>
        <v>-147.41397457409093</v>
      </c>
      <c r="BH274">
        <f t="shared" si="255"/>
        <v>32.586025425909071</v>
      </c>
      <c r="BI274">
        <f t="shared" si="256"/>
        <v>32.586025425909071</v>
      </c>
      <c r="BJ274">
        <f t="shared" si="241"/>
        <v>0</v>
      </c>
      <c r="BK274">
        <f t="shared" si="257"/>
        <v>0</v>
      </c>
      <c r="BM274">
        <f t="shared" si="258"/>
        <v>-35.99474497482565</v>
      </c>
      <c r="BN274">
        <f t="shared" si="242"/>
        <v>-92.890055635620826</v>
      </c>
      <c r="BQ274" s="66">
        <f t="shared" si="259"/>
        <v>32.368250503427753</v>
      </c>
      <c r="BR274" s="71"/>
      <c r="BS274" s="71"/>
      <c r="BT274" s="71">
        <v>43651.582999999999</v>
      </c>
      <c r="BU274" s="71">
        <v>-0.43071199999999998</v>
      </c>
      <c r="BV274" s="71">
        <v>-139.065</v>
      </c>
      <c r="BY274" s="71"/>
      <c r="BZ274" s="71"/>
      <c r="CA274" s="71"/>
      <c r="CC274" s="71"/>
    </row>
    <row r="275" spans="1:81" x14ac:dyDescent="0.2">
      <c r="A275">
        <f t="shared" si="211"/>
        <v>305000</v>
      </c>
      <c r="B275">
        <f t="shared" si="243"/>
        <v>305</v>
      </c>
      <c r="C275">
        <f t="shared" si="212"/>
        <v>18.998414253422272</v>
      </c>
      <c r="D275">
        <f t="shared" si="213"/>
        <v>1.518136019419194</v>
      </c>
      <c r="F275">
        <f t="shared" si="214"/>
        <v>5.4733673398688237E-5</v>
      </c>
      <c r="G275">
        <f t="shared" si="215"/>
        <v>3.0445802350104194E-3</v>
      </c>
      <c r="H275">
        <f t="shared" si="216"/>
        <v>-3.1385480697649899</v>
      </c>
      <c r="J275">
        <f t="shared" si="217"/>
        <v>15</v>
      </c>
      <c r="M275">
        <f t="shared" si="218"/>
        <v>1.106065297688464E-2</v>
      </c>
      <c r="N275">
        <f t="shared" si="219"/>
        <v>-1.5707963250000001</v>
      </c>
      <c r="O275">
        <f t="shared" si="220"/>
        <v>90.381612986114376</v>
      </c>
      <c r="P275">
        <f t="shared" si="221"/>
        <v>1.5597319037244501</v>
      </c>
      <c r="Q275">
        <f t="shared" si="222"/>
        <v>125.21970793345771</v>
      </c>
      <c r="R275">
        <f t="shared" si="223"/>
        <v>1.5628102785435707</v>
      </c>
      <c r="S275">
        <f t="shared" si="224"/>
        <v>8.7511369787017138E-2</v>
      </c>
      <c r="T275">
        <f t="shared" si="225"/>
        <v>-1.48317287313583</v>
      </c>
      <c r="U275">
        <f t="shared" si="226"/>
        <v>0.99940604176721626</v>
      </c>
      <c r="V275">
        <f t="shared" si="227"/>
        <v>-3.4467870251257991E-2</v>
      </c>
      <c r="X275">
        <f t="shared" si="244"/>
        <v>-15.351935965163822</v>
      </c>
      <c r="Y275">
        <f t="shared" si="228"/>
        <v>-90.888692575619345</v>
      </c>
      <c r="Z275">
        <f t="shared" si="245"/>
        <v>89.111307424380655</v>
      </c>
      <c r="AC275">
        <v>1</v>
      </c>
      <c r="AD275">
        <f t="shared" si="229"/>
        <v>90.376080718140017</v>
      </c>
      <c r="AE275">
        <f t="shared" si="230"/>
        <v>-1.7319414686114837E-4</v>
      </c>
      <c r="AF275">
        <f t="shared" si="231"/>
        <v>5.0228097447465002E-3</v>
      </c>
      <c r="AG275">
        <f t="shared" si="246"/>
        <v>17964.907566763803</v>
      </c>
      <c r="AH275">
        <f t="shared" si="247"/>
        <v>-818.54918828356858</v>
      </c>
      <c r="AJ275">
        <f t="shared" si="232"/>
        <v>18000</v>
      </c>
      <c r="AK275">
        <f t="shared" si="233"/>
        <v>204898.44254417997</v>
      </c>
      <c r="AL275">
        <v>1</v>
      </c>
      <c r="AM275">
        <f t="shared" si="234"/>
        <v>125.21571488811</v>
      </c>
      <c r="AN275">
        <f t="shared" si="248"/>
        <v>1637.4072372684577</v>
      </c>
      <c r="AO275">
        <f t="shared" si="249"/>
        <v>-130.67523335511675</v>
      </c>
      <c r="AQ275">
        <f t="shared" si="235"/>
        <v>2.6874423879538083E-2</v>
      </c>
      <c r="AR275">
        <f t="shared" si="236"/>
        <v>-16.393398566518229</v>
      </c>
      <c r="AT275">
        <f t="shared" si="209"/>
        <v>-12936.006548926582</v>
      </c>
      <c r="AU275">
        <f t="shared" si="210"/>
        <v>-294527.88799047039</v>
      </c>
      <c r="AV275">
        <f t="shared" si="250"/>
        <v>-1.6146892773228552</v>
      </c>
      <c r="AW275">
        <f t="shared" si="251"/>
        <v>39892.85530017611</v>
      </c>
      <c r="AX275">
        <f t="shared" si="252"/>
        <v>-30612.526212542532</v>
      </c>
      <c r="AY275">
        <f t="shared" si="260"/>
        <v>-0.65452468665002628</v>
      </c>
      <c r="BA275">
        <f t="shared" si="237"/>
        <v>5.8628354800075595</v>
      </c>
      <c r="BB275">
        <f t="shared" si="253"/>
        <v>15.36215414797236</v>
      </c>
      <c r="BC275">
        <f t="shared" si="254"/>
        <v>-0.96016459067282889</v>
      </c>
      <c r="BD275">
        <f t="shared" si="238"/>
        <v>-235.01337874632128</v>
      </c>
      <c r="BF275">
        <f t="shared" si="239"/>
        <v>-20.776581681791374</v>
      </c>
      <c r="BG275">
        <f t="shared" si="240"/>
        <v>-147.85615040936398</v>
      </c>
      <c r="BH275">
        <f t="shared" si="255"/>
        <v>32.143849590636023</v>
      </c>
      <c r="BI275">
        <f t="shared" si="256"/>
        <v>32.143849590636023</v>
      </c>
      <c r="BJ275">
        <f t="shared" si="241"/>
        <v>0</v>
      </c>
      <c r="BK275">
        <f t="shared" si="257"/>
        <v>0</v>
      </c>
      <c r="BM275">
        <f t="shared" si="258"/>
        <v>-36.138735829763732</v>
      </c>
      <c r="BN275">
        <f t="shared" si="242"/>
        <v>-92.842771663042711</v>
      </c>
      <c r="BQ275" s="66">
        <f t="shared" si="259"/>
        <v>32.264114948257493</v>
      </c>
      <c r="BR275" s="71"/>
      <c r="BS275" s="71"/>
      <c r="BT275" s="71">
        <v>44668.358999999997</v>
      </c>
      <c r="BU275" s="71">
        <v>-0.21105299999999999</v>
      </c>
      <c r="BV275" s="71">
        <v>-136.58699999999999</v>
      </c>
      <c r="BY275" s="71"/>
      <c r="BZ275" s="71"/>
      <c r="CA275" s="71"/>
      <c r="CC275" s="71"/>
    </row>
    <row r="276" spans="1:81" x14ac:dyDescent="0.2">
      <c r="A276">
        <f t="shared" si="211"/>
        <v>310000</v>
      </c>
      <c r="B276">
        <f t="shared" si="243"/>
        <v>310</v>
      </c>
      <c r="C276">
        <f t="shared" si="212"/>
        <v>19.309007722404125</v>
      </c>
      <c r="D276">
        <f t="shared" si="213"/>
        <v>1.5189838475250532</v>
      </c>
      <c r="F276">
        <f t="shared" si="214"/>
        <v>5.2982224039988325E-5</v>
      </c>
      <c r="G276">
        <f t="shared" si="215"/>
        <v>2.9954691077345649E-3</v>
      </c>
      <c r="H276">
        <f t="shared" si="216"/>
        <v>-3.1385971808922655</v>
      </c>
      <c r="J276">
        <f t="shared" si="217"/>
        <v>15</v>
      </c>
      <c r="M276">
        <f t="shared" si="218"/>
        <v>1.0882255348225211E-2</v>
      </c>
      <c r="N276">
        <f t="shared" si="219"/>
        <v>-1.5707963250000001</v>
      </c>
      <c r="O276">
        <f t="shared" si="220"/>
        <v>91.863098855056123</v>
      </c>
      <c r="P276">
        <f t="shared" si="221"/>
        <v>1.5599103479471024</v>
      </c>
      <c r="Q276">
        <f t="shared" si="222"/>
        <v>127.2723601690148</v>
      </c>
      <c r="R276">
        <f t="shared" si="223"/>
        <v>1.562939080428656</v>
      </c>
      <c r="S276">
        <f t="shared" si="224"/>
        <v>8.6110447312321189E-2</v>
      </c>
      <c r="T276">
        <f t="shared" si="225"/>
        <v>-1.4845791045234231</v>
      </c>
      <c r="U276">
        <f t="shared" si="226"/>
        <v>0.99938642616993167</v>
      </c>
      <c r="V276">
        <f t="shared" si="227"/>
        <v>-3.5032458829231318E-2</v>
      </c>
      <c r="X276">
        <f t="shared" si="244"/>
        <v>-15.492704131137051</v>
      </c>
      <c r="Y276">
        <f t="shared" si="228"/>
        <v>-90.938245224739561</v>
      </c>
      <c r="Z276">
        <f t="shared" si="245"/>
        <v>89.061754775260439</v>
      </c>
      <c r="AC276">
        <v>1</v>
      </c>
      <c r="AD276">
        <f t="shared" si="229"/>
        <v>91.857655811880008</v>
      </c>
      <c r="AE276">
        <f t="shared" si="230"/>
        <v>-1.7891918853379587E-4</v>
      </c>
      <c r="AF276">
        <f t="shared" si="231"/>
        <v>5.1051508881030001E-3</v>
      </c>
      <c r="AG276">
        <f t="shared" si="246"/>
        <v>17964.202370038725</v>
      </c>
      <c r="AH276">
        <f t="shared" si="247"/>
        <v>-825.46835599410338</v>
      </c>
      <c r="AJ276">
        <f t="shared" si="232"/>
        <v>18000</v>
      </c>
      <c r="AK276">
        <f t="shared" si="233"/>
        <v>208257.43340556</v>
      </c>
      <c r="AL276">
        <v>1</v>
      </c>
      <c r="AM276">
        <f t="shared" si="234"/>
        <v>127.26843152562</v>
      </c>
      <c r="AN276">
        <f t="shared" si="248"/>
        <v>1637.3738462729318</v>
      </c>
      <c r="AO276">
        <f t="shared" si="249"/>
        <v>-128.56783066767946</v>
      </c>
      <c r="AQ276">
        <f t="shared" si="235"/>
        <v>2.6014500482568984E-2</v>
      </c>
      <c r="AR276">
        <f t="shared" si="236"/>
        <v>-16.128990299192768</v>
      </c>
      <c r="AT276">
        <f t="shared" si="209"/>
        <v>-12846.641354895157</v>
      </c>
      <c r="AU276">
        <f t="shared" si="210"/>
        <v>-289765.91990603571</v>
      </c>
      <c r="AV276">
        <f t="shared" si="250"/>
        <v>-1.6151018626447462</v>
      </c>
      <c r="AW276">
        <f t="shared" si="251"/>
        <v>39958.547593346128</v>
      </c>
      <c r="AX276">
        <f t="shared" si="252"/>
        <v>-30163.332077773281</v>
      </c>
      <c r="AY276">
        <f t="shared" si="260"/>
        <v>-0.64660781230293507</v>
      </c>
      <c r="BA276">
        <f t="shared" si="237"/>
        <v>5.793470446048441</v>
      </c>
      <c r="BB276">
        <f t="shared" si="253"/>
        <v>15.258775917218458</v>
      </c>
      <c r="BC276">
        <f t="shared" si="254"/>
        <v>-0.96849405034181113</v>
      </c>
      <c r="BD276">
        <f t="shared" si="238"/>
        <v>-235.49062163152374</v>
      </c>
      <c r="BF276">
        <f t="shared" si="239"/>
        <v>-21.021596081627926</v>
      </c>
      <c r="BG276">
        <f t="shared" si="240"/>
        <v>-148.28763018261589</v>
      </c>
      <c r="BH276">
        <f t="shared" si="255"/>
        <v>31.712369817384115</v>
      </c>
      <c r="BI276">
        <f t="shared" si="256"/>
        <v>31.712369817384115</v>
      </c>
      <c r="BJ276">
        <f t="shared" si="241"/>
        <v>0</v>
      </c>
      <c r="BK276">
        <f t="shared" si="257"/>
        <v>0</v>
      </c>
      <c r="BM276">
        <f t="shared" si="258"/>
        <v>-36.280371998846384</v>
      </c>
      <c r="BN276">
        <f t="shared" si="242"/>
        <v>-92.797008551092134</v>
      </c>
      <c r="BQ276" s="66">
        <f t="shared" si="259"/>
        <v>32.160736717503596</v>
      </c>
      <c r="BR276" s="71"/>
      <c r="BS276" s="71"/>
      <c r="BT276" s="71">
        <v>45708.819000000003</v>
      </c>
      <c r="BU276" s="71">
        <v>0.52166999999999997</v>
      </c>
      <c r="BV276" s="71">
        <v>-135.751</v>
      </c>
      <c r="BY276" s="71"/>
      <c r="BZ276" s="71"/>
      <c r="CA276" s="71"/>
      <c r="CC276" s="71"/>
    </row>
    <row r="277" spans="1:81" x14ac:dyDescent="0.2">
      <c r="A277">
        <f t="shared" si="211"/>
        <v>315000</v>
      </c>
      <c r="B277">
        <f t="shared" si="243"/>
        <v>315</v>
      </c>
      <c r="C277">
        <f t="shared" si="212"/>
        <v>19.619614631488396</v>
      </c>
      <c r="D277">
        <f t="shared" si="213"/>
        <v>1.5198048315124093</v>
      </c>
      <c r="F277">
        <f t="shared" si="214"/>
        <v>5.1313518586480373E-5</v>
      </c>
      <c r="G277">
        <f t="shared" si="215"/>
        <v>2.9479172960720072E-3</v>
      </c>
      <c r="H277">
        <f t="shared" si="216"/>
        <v>-3.1386447327039284</v>
      </c>
      <c r="J277">
        <f t="shared" si="217"/>
        <v>15</v>
      </c>
      <c r="M277">
        <f t="shared" si="218"/>
        <v>1.070952113634862E-2</v>
      </c>
      <c r="N277">
        <f t="shared" si="219"/>
        <v>-1.5707963250000001</v>
      </c>
      <c r="O277">
        <f t="shared" si="220"/>
        <v>93.344587556283358</v>
      </c>
      <c r="P277">
        <f t="shared" si="221"/>
        <v>1.5600831279345471</v>
      </c>
      <c r="Q277">
        <f t="shared" si="222"/>
        <v>129.32501444898517</v>
      </c>
      <c r="R277">
        <f t="shared" si="223"/>
        <v>1.5630637936134766</v>
      </c>
      <c r="S277">
        <f t="shared" si="224"/>
        <v>8.4753511589633346E-2</v>
      </c>
      <c r="T277">
        <f t="shared" si="225"/>
        <v>-1.4859410195072631</v>
      </c>
      <c r="U277">
        <f t="shared" si="226"/>
        <v>0.99936649280312295</v>
      </c>
      <c r="V277">
        <f t="shared" si="227"/>
        <v>-3.5597025065038562E-2</v>
      </c>
      <c r="X277">
        <f t="shared" si="244"/>
        <v>-15.63124516635844</v>
      </c>
      <c r="Y277">
        <f t="shared" si="228"/>
        <v>-90.987264965380987</v>
      </c>
      <c r="Z277">
        <f t="shared" si="245"/>
        <v>89.012735034619013</v>
      </c>
      <c r="AC277">
        <v>1</v>
      </c>
      <c r="AD277">
        <f t="shared" si="229"/>
        <v>93.339230905620013</v>
      </c>
      <c r="AE277">
        <f t="shared" si="230"/>
        <v>-1.8473732031494165E-4</v>
      </c>
      <c r="AF277">
        <f t="shared" si="231"/>
        <v>5.1874920314595009E-3</v>
      </c>
      <c r="AG277">
        <f t="shared" si="246"/>
        <v>17963.485763419383</v>
      </c>
      <c r="AH277">
        <f t="shared" si="247"/>
        <v>-832.48826162238629</v>
      </c>
      <c r="AJ277">
        <f t="shared" si="232"/>
        <v>18000</v>
      </c>
      <c r="AK277">
        <f t="shared" si="233"/>
        <v>211616.42426693998</v>
      </c>
      <c r="AL277">
        <v>1</v>
      </c>
      <c r="AM277">
        <f t="shared" si="234"/>
        <v>129.32114816312998</v>
      </c>
      <c r="AN277">
        <f t="shared" si="248"/>
        <v>1637.3420325444122</v>
      </c>
      <c r="AO277">
        <f t="shared" si="249"/>
        <v>-126.52731745634662</v>
      </c>
      <c r="AQ277">
        <f t="shared" si="235"/>
        <v>2.5195199810532098E-2</v>
      </c>
      <c r="AR277">
        <f t="shared" si="236"/>
        <v>-15.872975880635222</v>
      </c>
      <c r="AT277">
        <f t="shared" si="209"/>
        <v>-12761.472484541082</v>
      </c>
      <c r="AU277">
        <f t="shared" si="210"/>
        <v>-285154.95096298156</v>
      </c>
      <c r="AV277">
        <f t="shared" si="250"/>
        <v>-1.6155192504660638</v>
      </c>
      <c r="AW277">
        <f t="shared" si="251"/>
        <v>40021.03642753989</v>
      </c>
      <c r="AX277">
        <f t="shared" si="252"/>
        <v>-29729.14797951053</v>
      </c>
      <c r="AY277">
        <f t="shared" si="260"/>
        <v>-0.63890167056052038</v>
      </c>
      <c r="BA277">
        <f t="shared" si="237"/>
        <v>5.7254287362378351</v>
      </c>
      <c r="BB277">
        <f t="shared" si="253"/>
        <v>15.156160268485158</v>
      </c>
      <c r="BC277">
        <f t="shared" si="254"/>
        <v>-0.97661757990554343</v>
      </c>
      <c r="BD277">
        <f t="shared" si="238"/>
        <v>-235.95606559080721</v>
      </c>
      <c r="BF277">
        <f t="shared" si="239"/>
        <v>-21.263569187994989</v>
      </c>
      <c r="BG277">
        <f t="shared" si="240"/>
        <v>-148.70875974244183</v>
      </c>
      <c r="BH277">
        <f t="shared" si="255"/>
        <v>31.291240257558172</v>
      </c>
      <c r="BI277">
        <f t="shared" si="256"/>
        <v>31.291240257558172</v>
      </c>
      <c r="BJ277">
        <f t="shared" si="241"/>
        <v>0</v>
      </c>
      <c r="BK277">
        <f t="shared" si="257"/>
        <v>0</v>
      </c>
      <c r="BM277">
        <f t="shared" si="258"/>
        <v>-36.419729456480148</v>
      </c>
      <c r="BN277">
        <f t="shared" si="242"/>
        <v>-92.752694151634643</v>
      </c>
      <c r="BQ277" s="66">
        <f t="shared" si="259"/>
        <v>32.058121068770291</v>
      </c>
      <c r="BR277" s="71"/>
      <c r="BS277" s="71"/>
      <c r="BT277" s="71">
        <v>46773.514000000003</v>
      </c>
      <c r="BU277" s="71">
        <v>0.78233600000000003</v>
      </c>
      <c r="BV277" s="71">
        <v>-137.57599999999999</v>
      </c>
      <c r="BY277" s="71"/>
      <c r="BZ277" s="71"/>
      <c r="CA277" s="71"/>
      <c r="CC277" s="71"/>
    </row>
    <row r="278" spans="1:81" x14ac:dyDescent="0.2">
      <c r="A278">
        <f t="shared" si="211"/>
        <v>320000</v>
      </c>
      <c r="B278">
        <f t="shared" si="243"/>
        <v>320</v>
      </c>
      <c r="C278">
        <f t="shared" si="212"/>
        <v>19.930234352294836</v>
      </c>
      <c r="D278">
        <f t="shared" si="213"/>
        <v>1.5206002253729296</v>
      </c>
      <c r="F278">
        <f t="shared" si="214"/>
        <v>4.9722425764463503E-5</v>
      </c>
      <c r="G278">
        <f t="shared" si="215"/>
        <v>2.9018516929282994E-3</v>
      </c>
      <c r="H278">
        <f t="shared" si="216"/>
        <v>-3.138690798307072</v>
      </c>
      <c r="J278">
        <f t="shared" si="217"/>
        <v>15</v>
      </c>
      <c r="M278">
        <f t="shared" si="218"/>
        <v>1.0542184868593173E-2</v>
      </c>
      <c r="N278">
        <f t="shared" si="219"/>
        <v>-1.5707963250000001</v>
      </c>
      <c r="O278">
        <f t="shared" si="220"/>
        <v>94.826078957047812</v>
      </c>
      <c r="P278">
        <f t="shared" si="221"/>
        <v>1.5602505091574819</v>
      </c>
      <c r="Q278">
        <f t="shared" si="222"/>
        <v>131.37767067754262</v>
      </c>
      <c r="R278">
        <f t="shared" si="223"/>
        <v>1.5631846097406912</v>
      </c>
      <c r="S278">
        <f t="shared" si="224"/>
        <v>8.3438530202285408E-2</v>
      </c>
      <c r="T278">
        <f t="shared" si="225"/>
        <v>-1.4872606756687703</v>
      </c>
      <c r="U278">
        <f t="shared" si="226"/>
        <v>0.99934624172392383</v>
      </c>
      <c r="V278">
        <f t="shared" si="227"/>
        <v>-3.616156860013342E-2</v>
      </c>
      <c r="X278">
        <f t="shared" si="244"/>
        <v>-15.76762840856482</v>
      </c>
      <c r="Y278">
        <f t="shared" si="228"/>
        <v>-91.035775817363543</v>
      </c>
      <c r="Z278">
        <f t="shared" si="245"/>
        <v>88.964224182636457</v>
      </c>
      <c r="AC278">
        <v>1</v>
      </c>
      <c r="AD278">
        <f t="shared" si="229"/>
        <v>94.820805999360005</v>
      </c>
      <c r="AE278">
        <f t="shared" si="230"/>
        <v>-1.906485422045858E-4</v>
      </c>
      <c r="AF278">
        <f t="shared" si="231"/>
        <v>5.269833174816E-3</v>
      </c>
      <c r="AG278">
        <f t="shared" si="246"/>
        <v>17962.757749643253</v>
      </c>
      <c r="AH278">
        <f t="shared" si="247"/>
        <v>-839.60410741049691</v>
      </c>
      <c r="AJ278">
        <f t="shared" si="232"/>
        <v>18000</v>
      </c>
      <c r="AK278">
        <f t="shared" si="233"/>
        <v>214975.41512831999</v>
      </c>
      <c r="AL278">
        <v>1</v>
      </c>
      <c r="AM278">
        <f t="shared" si="234"/>
        <v>131.37386480064001</v>
      </c>
      <c r="AN278">
        <f t="shared" si="248"/>
        <v>1637.311698287599</v>
      </c>
      <c r="AO278">
        <f t="shared" si="249"/>
        <v>-124.55055902133046</v>
      </c>
      <c r="AQ278">
        <f t="shared" si="235"/>
        <v>2.4414002895500744E-2</v>
      </c>
      <c r="AR278">
        <f t="shared" si="236"/>
        <v>-15.624961853120476</v>
      </c>
      <c r="AT278">
        <f t="shared" ref="AT278:AT341" si="261">-AR278*AH278+AG278*AQ278</f>
        <v>-12680.239330301312</v>
      </c>
      <c r="AU278">
        <f t="shared" ref="AU278:AU341" si="262">AQ278*AH278+AG278*AR278</f>
        <v>-280687.90271212941</v>
      </c>
      <c r="AV278">
        <f t="shared" si="250"/>
        <v>-1.6159412143040084</v>
      </c>
      <c r="AW278">
        <f t="shared" si="251"/>
        <v>40080.518838417229</v>
      </c>
      <c r="AX278">
        <f t="shared" si="252"/>
        <v>-29309.268313846464</v>
      </c>
      <c r="AY278">
        <f t="shared" si="260"/>
        <v>-0.63139904221434884</v>
      </c>
      <c r="BA278">
        <f t="shared" si="237"/>
        <v>5.6586855046805296</v>
      </c>
      <c r="BB278">
        <f t="shared" si="253"/>
        <v>15.054311152510259</v>
      </c>
      <c r="BC278">
        <f t="shared" si="254"/>
        <v>-0.98454217208965955</v>
      </c>
      <c r="BD278">
        <f t="shared" si="238"/>
        <v>-236.41011127783824</v>
      </c>
      <c r="BF278">
        <f t="shared" si="239"/>
        <v>-21.502569396960514</v>
      </c>
      <c r="BG278">
        <f t="shared" si="240"/>
        <v>-149.11987208280624</v>
      </c>
      <c r="BH278">
        <f t="shared" si="255"/>
        <v>30.880127917193761</v>
      </c>
      <c r="BI278">
        <f t="shared" si="256"/>
        <v>30.880127917193761</v>
      </c>
      <c r="BJ278">
        <f t="shared" si="241"/>
        <v>0</v>
      </c>
      <c r="BK278">
        <f t="shared" si="257"/>
        <v>0</v>
      </c>
      <c r="BM278">
        <f t="shared" si="258"/>
        <v>-36.556880549470769</v>
      </c>
      <c r="BN278">
        <f t="shared" si="242"/>
        <v>-92.709760804968028</v>
      </c>
      <c r="BQ278" s="66">
        <f t="shared" si="259"/>
        <v>31.956271952795397</v>
      </c>
      <c r="BR278" s="71"/>
      <c r="BS278" s="71"/>
      <c r="BT278" s="71">
        <v>47863.008999999998</v>
      </c>
      <c r="BU278" s="71">
        <v>0.81724300000000005</v>
      </c>
      <c r="BV278" s="71">
        <v>-138.25</v>
      </c>
      <c r="BY278" s="71"/>
      <c r="BZ278" s="71"/>
      <c r="CA278" s="71"/>
      <c r="CC278" s="71"/>
    </row>
    <row r="279" spans="1:81" x14ac:dyDescent="0.2">
      <c r="A279">
        <f t="shared" si="211"/>
        <v>325000</v>
      </c>
      <c r="B279">
        <f t="shared" si="243"/>
        <v>325</v>
      </c>
      <c r="C279">
        <f t="shared" si="212"/>
        <v>20.240866294990951</v>
      </c>
      <c r="D279">
        <f t="shared" si="213"/>
        <v>1.5213712062537261</v>
      </c>
      <c r="F279">
        <f t="shared" si="214"/>
        <v>4.8204205988770693E-5</v>
      </c>
      <c r="G279">
        <f t="shared" si="215"/>
        <v>2.857203691172499E-3</v>
      </c>
      <c r="H279">
        <f t="shared" si="216"/>
        <v>-3.1387354463088277</v>
      </c>
      <c r="J279">
        <f t="shared" si="217"/>
        <v>15</v>
      </c>
      <c r="M279">
        <f t="shared" si="218"/>
        <v>1.0379997409076355E-2</v>
      </c>
      <c r="N279">
        <f t="shared" si="219"/>
        <v>-1.5707963250000001</v>
      </c>
      <c r="O279">
        <f t="shared" si="220"/>
        <v>96.307572932769233</v>
      </c>
      <c r="P279">
        <f t="shared" si="221"/>
        <v>1.5604127407529766</v>
      </c>
      <c r="Q279">
        <f t="shared" si="222"/>
        <v>133.43032876475752</v>
      </c>
      <c r="R279">
        <f t="shared" si="223"/>
        <v>1.5633017086607048</v>
      </c>
      <c r="S279">
        <f t="shared" si="224"/>
        <v>8.2163593614217101E-2</v>
      </c>
      <c r="T279">
        <f t="shared" si="225"/>
        <v>-1.4885400054409168</v>
      </c>
      <c r="U279">
        <f t="shared" si="226"/>
        <v>0.99932567299037234</v>
      </c>
      <c r="V279">
        <f t="shared" si="227"/>
        <v>-3.6726089076056283E-2</v>
      </c>
      <c r="X279">
        <f t="shared" si="244"/>
        <v>-15.901920023760601</v>
      </c>
      <c r="Y279">
        <f t="shared" si="228"/>
        <v>-91.083800386568498</v>
      </c>
      <c r="Z279">
        <f t="shared" si="245"/>
        <v>88.916199613431502</v>
      </c>
      <c r="AC279">
        <v>1</v>
      </c>
      <c r="AD279">
        <f t="shared" si="229"/>
        <v>96.30238109310001</v>
      </c>
      <c r="AE279">
        <f t="shared" si="230"/>
        <v>-1.9665285420272826E-4</v>
      </c>
      <c r="AF279">
        <f t="shared" si="231"/>
        <v>5.3521743181725E-3</v>
      </c>
      <c r="AG279">
        <f t="shared" si="246"/>
        <v>17962.018331491032</v>
      </c>
      <c r="AH279">
        <f t="shared" si="247"/>
        <v>-846.81138967031757</v>
      </c>
      <c r="AJ279">
        <f t="shared" si="232"/>
        <v>18000</v>
      </c>
      <c r="AK279">
        <f t="shared" si="233"/>
        <v>218334.40598969997</v>
      </c>
      <c r="AL279">
        <v>1</v>
      </c>
      <c r="AM279">
        <f t="shared" si="234"/>
        <v>133.42658143815001</v>
      </c>
      <c r="AN279">
        <f t="shared" si="248"/>
        <v>1637.2827531707198</v>
      </c>
      <c r="AO279">
        <f t="shared" si="249"/>
        <v>-122.63461351150805</v>
      </c>
      <c r="AQ279">
        <f t="shared" si="235"/>
        <v>2.3668583032939568E-2</v>
      </c>
      <c r="AR279">
        <f t="shared" si="236"/>
        <v>-15.384578971410718</v>
      </c>
      <c r="AT279">
        <f t="shared" si="261"/>
        <v>-12602.701175954977</v>
      </c>
      <c r="AU279">
        <f t="shared" si="262"/>
        <v>-276358.13233244041</v>
      </c>
      <c r="AV279">
        <f t="shared" si="250"/>
        <v>-1.6163675415881857</v>
      </c>
      <c r="AW279">
        <f t="shared" si="251"/>
        <v>40137.176825338545</v>
      </c>
      <c r="AX279">
        <f t="shared" si="252"/>
        <v>-28903.031034155945</v>
      </c>
      <c r="AY279">
        <f t="shared" si="260"/>
        <v>-0.6240930103951472</v>
      </c>
      <c r="BA279">
        <f t="shared" si="237"/>
        <v>5.5932156807775053</v>
      </c>
      <c r="BB279">
        <f t="shared" si="253"/>
        <v>14.953231330836408</v>
      </c>
      <c r="BC279">
        <f t="shared" si="254"/>
        <v>-0.99227453119303854</v>
      </c>
      <c r="BD279">
        <f t="shared" si="238"/>
        <v>-236.85314282064766</v>
      </c>
      <c r="BF279">
        <f t="shared" si="239"/>
        <v>-21.738662894037866</v>
      </c>
      <c r="BG279">
        <f t="shared" si="240"/>
        <v>-149.52128781707751</v>
      </c>
      <c r="BH279">
        <f t="shared" si="255"/>
        <v>30.478712182922493</v>
      </c>
      <c r="BI279">
        <f t="shared" si="256"/>
        <v>30.478712182922493</v>
      </c>
      <c r="BJ279">
        <f t="shared" si="241"/>
        <v>0</v>
      </c>
      <c r="BK279">
        <f t="shared" si="257"/>
        <v>0</v>
      </c>
      <c r="BM279">
        <f t="shared" si="258"/>
        <v>-36.691894224874268</v>
      </c>
      <c r="BN279">
        <f t="shared" si="242"/>
        <v>-92.668144996429845</v>
      </c>
      <c r="BQ279" s="66">
        <f t="shared" si="259"/>
        <v>31.855192131121544</v>
      </c>
      <c r="BR279" s="71"/>
      <c r="BS279" s="71"/>
      <c r="BT279" s="71">
        <v>48977.881999999998</v>
      </c>
      <c r="BU279" s="71">
        <v>0.86195100000000002</v>
      </c>
      <c r="BV279" s="71">
        <v>-138.07900000000001</v>
      </c>
      <c r="BY279" s="71"/>
      <c r="BZ279" s="71"/>
      <c r="CA279" s="71"/>
      <c r="CC279" s="71"/>
    </row>
    <row r="280" spans="1:81" x14ac:dyDescent="0.2">
      <c r="A280">
        <f>A279+5000</f>
        <v>330000</v>
      </c>
      <c r="B280">
        <f t="shared" si="243"/>
        <v>330</v>
      </c>
      <c r="C280">
        <f t="shared" si="212"/>
        <v>20.551509905382531</v>
      </c>
      <c r="D280">
        <f t="shared" si="213"/>
        <v>1.5221188802502119</v>
      </c>
      <c r="F280">
        <f t="shared" si="214"/>
        <v>4.6754476023658615E-5</v>
      </c>
      <c r="G280">
        <f t="shared" si="215"/>
        <v>2.8139088426361765E-3</v>
      </c>
      <c r="H280">
        <f t="shared" si="216"/>
        <v>-3.1387787411573642</v>
      </c>
      <c r="J280">
        <f t="shared" si="217"/>
        <v>15</v>
      </c>
      <c r="M280">
        <f t="shared" si="218"/>
        <v>1.0222724721060046E-2</v>
      </c>
      <c r="N280">
        <f t="shared" si="219"/>
        <v>-1.5707963250000001</v>
      </c>
      <c r="O280">
        <f t="shared" si="220"/>
        <v>97.789069366416655</v>
      </c>
      <c r="P280">
        <f t="shared" si="221"/>
        <v>1.5605700567615997</v>
      </c>
      <c r="Q280">
        <f t="shared" si="222"/>
        <v>135.48298862615016</v>
      </c>
      <c r="R280">
        <f t="shared" si="223"/>
        <v>1.5634152593249186</v>
      </c>
      <c r="S280">
        <f t="shared" si="224"/>
        <v>8.0926906053210734E-2</v>
      </c>
      <c r="T280">
        <f t="shared" si="225"/>
        <v>-1.4897808254596292</v>
      </c>
      <c r="U280">
        <f t="shared" si="226"/>
        <v>0.99930478666140998</v>
      </c>
      <c r="V280">
        <f t="shared" si="227"/>
        <v>-3.729058613443563E-2</v>
      </c>
      <c r="X280">
        <f t="shared" si="244"/>
        <v>-16.034183196014197</v>
      </c>
      <c r="Y280">
        <f t="shared" si="228"/>
        <v>-91.131359966304288</v>
      </c>
      <c r="Z280">
        <f t="shared" si="245"/>
        <v>88.868640033695712</v>
      </c>
      <c r="AC280">
        <v>1</v>
      </c>
      <c r="AD280">
        <f t="shared" si="229"/>
        <v>97.783956186840015</v>
      </c>
      <c r="AE280">
        <f t="shared" si="230"/>
        <v>-2.027502563093691E-4</v>
      </c>
      <c r="AF280">
        <f t="shared" si="231"/>
        <v>5.4345154615289999E-3</v>
      </c>
      <c r="AG280">
        <f t="shared" si="246"/>
        <v>17961.267511786642</v>
      </c>
      <c r="AH280">
        <f t="shared" si="247"/>
        <v>-854.10587650623017</v>
      </c>
      <c r="AJ280">
        <f t="shared" si="232"/>
        <v>18000</v>
      </c>
      <c r="AK280">
        <f t="shared" si="233"/>
        <v>221693.39685108</v>
      </c>
      <c r="AL280">
        <v>1</v>
      </c>
      <c r="AM280">
        <f t="shared" si="234"/>
        <v>135.47929807565998</v>
      </c>
      <c r="AN280">
        <f t="shared" si="248"/>
        <v>1637.2551136523082</v>
      </c>
      <c r="AO280">
        <f t="shared" si="249"/>
        <v>-120.77671731964337</v>
      </c>
      <c r="AQ280">
        <f t="shared" si="235"/>
        <v>2.29567884371248E-2</v>
      </c>
      <c r="AR280">
        <f t="shared" si="236"/>
        <v>-15.151480368502368</v>
      </c>
      <c r="AT280">
        <f t="shared" si="261"/>
        <v>-12528.635402175965</v>
      </c>
      <c r="AU280">
        <f t="shared" si="262"/>
        <v>-272159.39962616452</v>
      </c>
      <c r="AV280">
        <f t="shared" si="250"/>
        <v>-1.6167980326069125</v>
      </c>
      <c r="AW280">
        <f t="shared" si="251"/>
        <v>40191.178707618332</v>
      </c>
      <c r="AX280">
        <f t="shared" si="252"/>
        <v>-28509.814339031742</v>
      </c>
      <c r="AY280">
        <f t="shared" si="260"/>
        <v>-0.61697694599709618</v>
      </c>
      <c r="BA280">
        <f t="shared" si="237"/>
        <v>5.5289940705705014</v>
      </c>
      <c r="BB280">
        <f t="shared" si="253"/>
        <v>14.852922483817617</v>
      </c>
      <c r="BC280">
        <f t="shared" si="254"/>
        <v>-0.99982108660981628</v>
      </c>
      <c r="BD280">
        <f t="shared" si="238"/>
        <v>-237.28552859638467</v>
      </c>
      <c r="BF280">
        <f t="shared" si="239"/>
        <v>-21.971913756380491</v>
      </c>
      <c r="BG280">
        <f t="shared" si="240"/>
        <v>-149.91331564041388</v>
      </c>
      <c r="BH280">
        <f t="shared" si="255"/>
        <v>30.086684359586116</v>
      </c>
      <c r="BI280">
        <f t="shared" si="256"/>
        <v>30.086684359586116</v>
      </c>
      <c r="BJ280">
        <f t="shared" si="241"/>
        <v>0</v>
      </c>
      <c r="BK280">
        <f t="shared" si="257"/>
        <v>0</v>
      </c>
      <c r="BM280">
        <f t="shared" si="258"/>
        <v>-36.82483624019811</v>
      </c>
      <c r="BN280">
        <f t="shared" si="242"/>
        <v>-92.627787044029205</v>
      </c>
      <c r="BQ280" s="66">
        <f t="shared" si="259"/>
        <v>31.75488328410275</v>
      </c>
      <c r="BR280" s="71"/>
      <c r="BS280" s="71"/>
      <c r="BT280" s="71">
        <v>50118.722999999998</v>
      </c>
      <c r="BU280" s="71">
        <v>0.950021</v>
      </c>
      <c r="BV280" s="71">
        <v>-137.59100000000001</v>
      </c>
      <c r="BY280" s="71"/>
      <c r="BZ280" s="71"/>
      <c r="CA280" s="71"/>
      <c r="CC280" s="71"/>
    </row>
    <row r="281" spans="1:81" x14ac:dyDescent="0.2">
      <c r="A281">
        <f t="shared" si="211"/>
        <v>335000</v>
      </c>
      <c r="B281">
        <f t="shared" si="243"/>
        <v>335</v>
      </c>
      <c r="C281">
        <f t="shared" si="212"/>
        <v>20.862164662263591</v>
      </c>
      <c r="D281">
        <f t="shared" si="213"/>
        <v>1.5228442876831112</v>
      </c>
      <c r="F281">
        <f t="shared" si="214"/>
        <v>4.5369177308353992E-5</v>
      </c>
      <c r="G281">
        <f t="shared" si="215"/>
        <v>2.7719065476594965E-3</v>
      </c>
      <c r="H281">
        <f t="shared" si="216"/>
        <v>-3.1388207434523405</v>
      </c>
      <c r="J281">
        <f t="shared" si="217"/>
        <v>15</v>
      </c>
      <c r="M281">
        <f t="shared" si="218"/>
        <v>1.0070146740148701E-2</v>
      </c>
      <c r="N281">
        <f t="shared" si="219"/>
        <v>-1.5707963250000001</v>
      </c>
      <c r="O281">
        <f t="shared" si="220"/>
        <v>99.27056814794507</v>
      </c>
      <c r="P281">
        <f t="shared" si="221"/>
        <v>1.5607226772537852</v>
      </c>
      <c r="Q281">
        <f t="shared" si="222"/>
        <v>137.53565018228406</v>
      </c>
      <c r="R281">
        <f t="shared" si="223"/>
        <v>1.563525420598999</v>
      </c>
      <c r="S281">
        <f t="shared" si="224"/>
        <v>7.9726777191164666E-2</v>
      </c>
      <c r="T281">
        <f t="shared" si="225"/>
        <v>-1.4909848450908454</v>
      </c>
      <c r="U281">
        <f t="shared" si="226"/>
        <v>0.99928358279688256</v>
      </c>
      <c r="V281">
        <f t="shared" si="227"/>
        <v>-3.7855059416989356E-2</v>
      </c>
      <c r="X281">
        <f t="shared" si="244"/>
        <v>-16.164478303319857</v>
      </c>
      <c r="Y281">
        <f t="shared" si="228"/>
        <v>-91.17847463017533</v>
      </c>
      <c r="Z281">
        <f t="shared" si="245"/>
        <v>88.82152536982467</v>
      </c>
      <c r="AC281">
        <v>1</v>
      </c>
      <c r="AD281">
        <f t="shared" si="229"/>
        <v>99.265531280580007</v>
      </c>
      <c r="AE281">
        <f t="shared" si="230"/>
        <v>-2.0894074852450823E-4</v>
      </c>
      <c r="AF281">
        <f t="shared" si="231"/>
        <v>5.5168566048855007E-3</v>
      </c>
      <c r="AG281">
        <f t="shared" si="246"/>
        <v>17960.505293397197</v>
      </c>
      <c r="AH281">
        <f t="shared" si="247"/>
        <v>-861.48358753280343</v>
      </c>
      <c r="AJ281">
        <f t="shared" si="232"/>
        <v>18000</v>
      </c>
      <c r="AK281">
        <f t="shared" si="233"/>
        <v>225052.38771245998</v>
      </c>
      <c r="AL281">
        <v>1</v>
      </c>
      <c r="AM281">
        <f t="shared" si="234"/>
        <v>137.53201471317001</v>
      </c>
      <c r="AN281">
        <f t="shared" si="248"/>
        <v>1637.2287023777792</v>
      </c>
      <c r="AO281">
        <f t="shared" si="249"/>
        <v>-118.97427178499208</v>
      </c>
      <c r="AQ281">
        <f t="shared" si="235"/>
        <v>2.2276626694972834E-2</v>
      </c>
      <c r="AR281">
        <f t="shared" si="236"/>
        <v>-14.925339885631798</v>
      </c>
      <c r="AT281">
        <f t="shared" si="261"/>
        <v>-12457.83587814643</v>
      </c>
      <c r="AU281">
        <f t="shared" si="262"/>
        <v>-268085.8369699255</v>
      </c>
      <c r="AV281">
        <f t="shared" si="250"/>
        <v>-1.6172324995478553</v>
      </c>
      <c r="AW281">
        <f t="shared" si="251"/>
        <v>40242.680340177918</v>
      </c>
      <c r="AX281">
        <f t="shared" si="252"/>
        <v>-28129.033658075918</v>
      </c>
      <c r="AY281">
        <f t="shared" si="260"/>
        <v>-0.61004449389602688</v>
      </c>
      <c r="BA281">
        <f t="shared" si="237"/>
        <v>5.4659954455460555</v>
      </c>
      <c r="BB281">
        <f t="shared" si="253"/>
        <v>14.753385309756181</v>
      </c>
      <c r="BC281">
        <f t="shared" si="254"/>
        <v>-1.0071880056518285</v>
      </c>
      <c r="BD281">
        <f t="shared" si="238"/>
        <v>-237.70762196598884</v>
      </c>
      <c r="BF281">
        <f t="shared" si="239"/>
        <v>-22.202384047814924</v>
      </c>
      <c r="BG281">
        <f t="shared" si="240"/>
        <v>-150.29625277987276</v>
      </c>
      <c r="BH281">
        <f t="shared" si="255"/>
        <v>29.703747220127241</v>
      </c>
      <c r="BI281">
        <f t="shared" si="256"/>
        <v>29.703747220127241</v>
      </c>
      <c r="BJ281">
        <f t="shared" si="241"/>
        <v>0</v>
      </c>
      <c r="BK281">
        <f t="shared" si="257"/>
        <v>0</v>
      </c>
      <c r="BM281">
        <f t="shared" si="258"/>
        <v>-36.955769357571107</v>
      </c>
      <c r="BN281">
        <f t="shared" si="242"/>
        <v>-92.588630813883924</v>
      </c>
      <c r="BQ281" s="66">
        <f t="shared" si="259"/>
        <v>31.655346110041318</v>
      </c>
      <c r="BR281" s="71"/>
      <c r="BS281" s="71"/>
      <c r="BT281" s="71">
        <v>51286.137999999999</v>
      </c>
      <c r="BU281" s="71">
        <v>1.0492999999999999</v>
      </c>
      <c r="BV281" s="71">
        <v>-137.08699999999999</v>
      </c>
      <c r="BY281" s="71"/>
      <c r="BZ281" s="71"/>
      <c r="CA281" s="71"/>
      <c r="CC281" s="71"/>
    </row>
    <row r="282" spans="1:81" x14ac:dyDescent="0.2">
      <c r="A282">
        <f t="shared" si="211"/>
        <v>340000</v>
      </c>
      <c r="B282">
        <f t="shared" si="243"/>
        <v>340</v>
      </c>
      <c r="C282">
        <f t="shared" si="212"/>
        <v>21.172830074999219</v>
      </c>
      <c r="D282">
        <f t="shared" si="213"/>
        <v>1.523548407912398</v>
      </c>
      <c r="F282">
        <f t="shared" si="214"/>
        <v>4.4044547519285505E-5</v>
      </c>
      <c r="G282">
        <f t="shared" si="215"/>
        <v>2.7311397720387095E-3</v>
      </c>
      <c r="H282">
        <f t="shared" si="216"/>
        <v>-3.1388615102279616</v>
      </c>
      <c r="J282">
        <f t="shared" si="217"/>
        <v>15</v>
      </c>
      <c r="M282">
        <f t="shared" si="218"/>
        <v>9.9220563469112222E-3</v>
      </c>
      <c r="N282">
        <f t="shared" si="219"/>
        <v>-1.5707963250000001</v>
      </c>
      <c r="O282">
        <f t="shared" si="220"/>
        <v>100.75206917378199</v>
      </c>
      <c r="P282">
        <f t="shared" si="221"/>
        <v>1.5608708093568386</v>
      </c>
      <c r="Q282">
        <f t="shared" si="222"/>
        <v>139.58831335839514</v>
      </c>
      <c r="R282">
        <f t="shared" si="223"/>
        <v>1.563632342004398</v>
      </c>
      <c r="S282">
        <f t="shared" si="224"/>
        <v>7.8561614541554914E-2</v>
      </c>
      <c r="T282">
        <f t="shared" si="225"/>
        <v>-1.4921536742165935</v>
      </c>
      <c r="U282">
        <f t="shared" si="226"/>
        <v>0.99926206145753804</v>
      </c>
      <c r="V282">
        <f t="shared" si="227"/>
        <v>-3.8419508565526152E-2</v>
      </c>
      <c r="X282">
        <f t="shared" si="244"/>
        <v>-16.292863080730402</v>
      </c>
      <c r="Y282">
        <f t="shared" si="228"/>
        <v>-91.22516331726213</v>
      </c>
      <c r="Z282">
        <f t="shared" si="245"/>
        <v>88.77483668273787</v>
      </c>
      <c r="AC282">
        <v>1</v>
      </c>
      <c r="AD282">
        <f t="shared" si="229"/>
        <v>100.74710637432001</v>
      </c>
      <c r="AE282">
        <f t="shared" si="230"/>
        <v>-2.1522433084814575E-4</v>
      </c>
      <c r="AF282">
        <f t="shared" si="231"/>
        <v>5.5991977482420007E-3</v>
      </c>
      <c r="AG282">
        <f t="shared" si="246"/>
        <v>17959.731679232958</v>
      </c>
      <c r="AH282">
        <f t="shared" si="247"/>
        <v>-868.94077538210831</v>
      </c>
      <c r="AJ282">
        <f t="shared" si="232"/>
        <v>18000</v>
      </c>
      <c r="AK282">
        <f t="shared" si="233"/>
        <v>228411.37857383999</v>
      </c>
      <c r="AL282">
        <v>1</v>
      </c>
      <c r="AM282">
        <f t="shared" si="234"/>
        <v>139.58473135067999</v>
      </c>
      <c r="AN282">
        <f t="shared" si="248"/>
        <v>1637.2034476376523</v>
      </c>
      <c r="AO282">
        <f t="shared" si="249"/>
        <v>-117.22483106876457</v>
      </c>
      <c r="AQ282">
        <f t="shared" si="235"/>
        <v>2.1626250808281122E-2</v>
      </c>
      <c r="AR282">
        <f t="shared" si="236"/>
        <v>-14.705850549631164</v>
      </c>
      <c r="AT282">
        <f t="shared" si="261"/>
        <v>-12390.111517505384</v>
      </c>
      <c r="AU282">
        <f t="shared" si="262"/>
        <v>-264131.92191742215</v>
      </c>
      <c r="AV282">
        <f t="shared" si="250"/>
        <v>-1.6176707656232976</v>
      </c>
      <c r="AW282">
        <f t="shared" si="251"/>
        <v>40291.826205012105</v>
      </c>
      <c r="AX282">
        <f t="shared" si="252"/>
        <v>-27760.138904741536</v>
      </c>
      <c r="AY282">
        <f t="shared" si="260"/>
        <v>-0.6032895599103818</v>
      </c>
      <c r="BA282">
        <f t="shared" si="237"/>
        <v>5.4041946202167326</v>
      </c>
      <c r="BB282">
        <f t="shared" si="253"/>
        <v>14.654619615897822</v>
      </c>
      <c r="BC282">
        <f t="shared" si="254"/>
        <v>-1.0143812057129158</v>
      </c>
      <c r="BD282">
        <f t="shared" si="238"/>
        <v>-238.11976197115334</v>
      </c>
      <c r="BF282">
        <f t="shared" si="239"/>
        <v>-22.430133907432165</v>
      </c>
      <c r="BG282">
        <f t="shared" si="240"/>
        <v>-150.67038543177335</v>
      </c>
      <c r="BH282">
        <f t="shared" si="255"/>
        <v>29.329614568226646</v>
      </c>
      <c r="BI282">
        <f t="shared" si="256"/>
        <v>29.329614568226646</v>
      </c>
      <c r="BJ282">
        <f t="shared" si="241"/>
        <v>0</v>
      </c>
      <c r="BK282">
        <f t="shared" si="257"/>
        <v>0</v>
      </c>
      <c r="BM282">
        <f t="shared" si="258"/>
        <v>-37.084753523329987</v>
      </c>
      <c r="BN282">
        <f t="shared" si="242"/>
        <v>-92.550623460620017</v>
      </c>
      <c r="BQ282" s="66">
        <f t="shared" si="259"/>
        <v>31.556580416182957</v>
      </c>
      <c r="BR282" s="71"/>
      <c r="BS282" s="71"/>
      <c r="BT282" s="71">
        <v>52480.745999999999</v>
      </c>
      <c r="BU282" s="71">
        <v>1.1752400000000001</v>
      </c>
      <c r="BV282" s="71">
        <v>-136.553</v>
      </c>
      <c r="BY282" s="71"/>
      <c r="BZ282" s="71"/>
      <c r="CA282" s="71"/>
      <c r="CC282" s="71"/>
    </row>
    <row r="283" spans="1:81" x14ac:dyDescent="0.2">
      <c r="A283">
        <f t="shared" si="211"/>
        <v>345000</v>
      </c>
      <c r="B283">
        <f t="shared" si="243"/>
        <v>345</v>
      </c>
      <c r="C283">
        <f t="shared" si="212"/>
        <v>21.48350568131773</v>
      </c>
      <c r="D283">
        <f t="shared" si="213"/>
        <v>1.5242321637348468</v>
      </c>
      <c r="F283">
        <f t="shared" si="214"/>
        <v>4.2777094996448154E-5</v>
      </c>
      <c r="G283">
        <f t="shared" si="215"/>
        <v>2.6915547885942382E-3</v>
      </c>
      <c r="H283">
        <f t="shared" si="216"/>
        <v>-3.138901095211406</v>
      </c>
      <c r="J283">
        <f t="shared" si="217"/>
        <v>15</v>
      </c>
      <c r="M283">
        <f t="shared" si="218"/>
        <v>9.7782584288400448E-3</v>
      </c>
      <c r="N283">
        <f t="shared" si="219"/>
        <v>-1.5707963250000001</v>
      </c>
      <c r="O283">
        <f t="shared" si="220"/>
        <v>102.2335723463583</v>
      </c>
      <c r="P283">
        <f t="shared" si="221"/>
        <v>1.5610146481926586</v>
      </c>
      <c r="Q283">
        <f t="shared" si="222"/>
        <v>141.64097808405319</v>
      </c>
      <c r="R283">
        <f t="shared" si="223"/>
        <v>1.5637361643953986</v>
      </c>
      <c r="S283">
        <f t="shared" si="224"/>
        <v>7.7429916503217455E-2</v>
      </c>
      <c r="T283">
        <f t="shared" si="225"/>
        <v>-1.4932888303539849</v>
      </c>
      <c r="U283">
        <f t="shared" si="226"/>
        <v>0.99924022270502744</v>
      </c>
      <c r="V283">
        <f t="shared" si="227"/>
        <v>-3.8983933221946848E-2</v>
      </c>
      <c r="X283">
        <f t="shared" si="244"/>
        <v>-16.419392771846798</v>
      </c>
      <c r="Y283">
        <f t="shared" si="228"/>
        <v>-91.271443910335748</v>
      </c>
      <c r="Z283">
        <f t="shared" si="245"/>
        <v>88.728556089664252</v>
      </c>
      <c r="AC283">
        <v>1</v>
      </c>
      <c r="AD283">
        <f t="shared" si="229"/>
        <v>102.22868146806</v>
      </c>
      <c r="AE283">
        <f t="shared" si="230"/>
        <v>-2.2160100328028146E-4</v>
      </c>
      <c r="AF283">
        <f t="shared" si="231"/>
        <v>5.6815388915985006E-3</v>
      </c>
      <c r="AG283">
        <f t="shared" si="246"/>
        <v>17958.946672247333</v>
      </c>
      <c r="AH283">
        <f t="shared" si="247"/>
        <v>-876.4739088191011</v>
      </c>
      <c r="AJ283">
        <f t="shared" si="232"/>
        <v>18000</v>
      </c>
      <c r="AK283">
        <f t="shared" si="233"/>
        <v>231770.36943521997</v>
      </c>
      <c r="AL283">
        <v>1</v>
      </c>
      <c r="AM283">
        <f t="shared" si="234"/>
        <v>141.63744798818999</v>
      </c>
      <c r="AN283">
        <f t="shared" si="248"/>
        <v>1637.1792828803198</v>
      </c>
      <c r="AO283">
        <f t="shared" si="249"/>
        <v>-115.52609108351093</v>
      </c>
      <c r="AQ283">
        <f t="shared" si="235"/>
        <v>2.1003946641573953E-2</v>
      </c>
      <c r="AR283">
        <f t="shared" si="236"/>
        <v>-14.492723182686026</v>
      </c>
      <c r="AT283">
        <f t="shared" si="261"/>
        <v>-12325.28497971927</v>
      </c>
      <c r="AU283">
        <f t="shared" si="262"/>
        <v>-260292.45218471455</v>
      </c>
      <c r="AV283">
        <f t="shared" si="250"/>
        <v>-1.6181126642714467</v>
      </c>
      <c r="AW283">
        <f t="shared" si="251"/>
        <v>40338.750392759204</v>
      </c>
      <c r="AX283">
        <f t="shared" si="252"/>
        <v>-27402.61196900882</v>
      </c>
      <c r="AY283">
        <f t="shared" si="260"/>
        <v>-0.59670629845823075</v>
      </c>
      <c r="BA283">
        <f t="shared" si="237"/>
        <v>5.3435665196659317</v>
      </c>
      <c r="BB283">
        <f t="shared" si="253"/>
        <v>14.556624401951499</v>
      </c>
      <c r="BC283">
        <f t="shared" si="254"/>
        <v>-1.021406365813216</v>
      </c>
      <c r="BD283">
        <f t="shared" si="238"/>
        <v>-238.52227399576418</v>
      </c>
      <c r="BF283">
        <f t="shared" si="239"/>
        <v>-22.655221632368352</v>
      </c>
      <c r="BG283">
        <f t="shared" si="240"/>
        <v>-151.03598918598166</v>
      </c>
      <c r="BH283">
        <f t="shared" si="255"/>
        <v>28.964010814018337</v>
      </c>
      <c r="BI283">
        <f t="shared" si="256"/>
        <v>28.964010814018337</v>
      </c>
      <c r="BJ283">
        <f t="shared" si="241"/>
        <v>0</v>
      </c>
      <c r="BK283">
        <f t="shared" si="257"/>
        <v>0</v>
      </c>
      <c r="BM283">
        <f t="shared" si="258"/>
        <v>-37.211846034319848</v>
      </c>
      <c r="BN283">
        <f t="shared" si="242"/>
        <v>-92.513715190217511</v>
      </c>
      <c r="BQ283" s="66">
        <f t="shared" si="259"/>
        <v>31.458585202236634</v>
      </c>
      <c r="BR283" s="71"/>
      <c r="BS283" s="71"/>
      <c r="BT283" s="71">
        <v>53703.18</v>
      </c>
      <c r="BU283" s="71">
        <v>1.3152900000000001</v>
      </c>
      <c r="BV283" s="71">
        <v>-136.001</v>
      </c>
      <c r="BY283" s="71"/>
      <c r="BZ283" s="71"/>
      <c r="CA283" s="71"/>
      <c r="CC283" s="71"/>
    </row>
    <row r="284" spans="1:81" x14ac:dyDescent="0.2">
      <c r="A284">
        <f t="shared" si="211"/>
        <v>350000</v>
      </c>
      <c r="B284">
        <f t="shared" si="243"/>
        <v>350</v>
      </c>
      <c r="C284">
        <f t="shared" si="212"/>
        <v>21.794191045291374</v>
      </c>
      <c r="D284">
        <f t="shared" si="213"/>
        <v>1.5248964254065926</v>
      </c>
      <c r="F284">
        <f t="shared" si="214"/>
        <v>4.1563575708905233E-5</v>
      </c>
      <c r="G284">
        <f t="shared" si="215"/>
        <v>2.6531009408964886E-3</v>
      </c>
      <c r="H284">
        <f t="shared" si="216"/>
        <v>-3.1389395490591037</v>
      </c>
      <c r="J284">
        <f t="shared" si="217"/>
        <v>15</v>
      </c>
      <c r="M284">
        <f t="shared" si="218"/>
        <v>9.6385690227137576E-3</v>
      </c>
      <c r="N284">
        <f t="shared" si="219"/>
        <v>-1.5707963250000001</v>
      </c>
      <c r="O284">
        <f t="shared" si="220"/>
        <v>103.71507757367962</v>
      </c>
      <c r="P284">
        <f t="shared" si="221"/>
        <v>1.5611543777350994</v>
      </c>
      <c r="Q284">
        <f t="shared" si="222"/>
        <v>143.69364429285233</v>
      </c>
      <c r="R284">
        <f t="shared" si="223"/>
        <v>1.5638370205781369</v>
      </c>
      <c r="S284">
        <f t="shared" si="224"/>
        <v>7.6330265987447576E-2</v>
      </c>
      <c r="T284">
        <f t="shared" si="225"/>
        <v>-1.4943917451727287</v>
      </c>
      <c r="U284">
        <f t="shared" si="226"/>
        <v>0.99921806660190382</v>
      </c>
      <c r="V284">
        <f t="shared" si="227"/>
        <v>-3.9548333028245772E-2</v>
      </c>
      <c r="X284">
        <f t="shared" si="244"/>
        <v>-16.544120269644257</v>
      </c>
      <c r="Y284">
        <f t="shared" si="228"/>
        <v>-91.317333307755476</v>
      </c>
      <c r="Z284">
        <f t="shared" si="245"/>
        <v>88.682666692244524</v>
      </c>
      <c r="AC284">
        <v>1</v>
      </c>
      <c r="AD284">
        <f t="shared" si="229"/>
        <v>103.71025656180001</v>
      </c>
      <c r="AE284">
        <f t="shared" si="230"/>
        <v>-2.2807076582091558E-4</v>
      </c>
      <c r="AF284">
        <f t="shared" si="231"/>
        <v>5.7638800349549997E-3</v>
      </c>
      <c r="AG284">
        <f t="shared" si="246"/>
        <v>17958.150275436819</v>
      </c>
      <c r="AH284">
        <f t="shared" si="247"/>
        <v>-884.07965730427372</v>
      </c>
      <c r="AJ284">
        <f t="shared" si="232"/>
        <v>18000</v>
      </c>
      <c r="AK284">
        <f t="shared" si="233"/>
        <v>235129.36029659997</v>
      </c>
      <c r="AL284">
        <v>1</v>
      </c>
      <c r="AM284">
        <f t="shared" si="234"/>
        <v>143.69016462570002</v>
      </c>
      <c r="AN284">
        <f t="shared" si="248"/>
        <v>1637.1561462731881</v>
      </c>
      <c r="AO284">
        <f t="shared" si="249"/>
        <v>-113.87587937107978</v>
      </c>
      <c r="AQ284">
        <f t="shared" si="235"/>
        <v>2.0408121616078335E-2</v>
      </c>
      <c r="AR284">
        <f t="shared" si="236"/>
        <v>-14.285685131254834</v>
      </c>
      <c r="AT284">
        <f t="shared" si="261"/>
        <v>-12263.191500375608</v>
      </c>
      <c r="AU284">
        <f t="shared" si="262"/>
        <v>-256562.52277981222</v>
      </c>
      <c r="AV284">
        <f t="shared" si="250"/>
        <v>-1.6185580384261842</v>
      </c>
      <c r="AW284">
        <f t="shared" si="251"/>
        <v>40383.577486840477</v>
      </c>
      <c r="AX284">
        <f t="shared" si="252"/>
        <v>-27055.964425806218</v>
      </c>
      <c r="AY284">
        <f t="shared" si="260"/>
        <v>-0.5902891008675023</v>
      </c>
      <c r="BA284">
        <f t="shared" si="237"/>
        <v>5.2840862381240061</v>
      </c>
      <c r="BB284">
        <f t="shared" si="253"/>
        <v>14.459397936744429</v>
      </c>
      <c r="BC284">
        <f t="shared" si="254"/>
        <v>-1.028268937558682</v>
      </c>
      <c r="BD284">
        <f t="shared" si="238"/>
        <v>-238.9154703938344</v>
      </c>
      <c r="BF284">
        <f t="shared" si="239"/>
        <v>-22.877703755328533</v>
      </c>
      <c r="BG284">
        <f t="shared" si="240"/>
        <v>-151.3933294369067</v>
      </c>
      <c r="BH284">
        <f t="shared" si="255"/>
        <v>28.606670563093303</v>
      </c>
      <c r="BI284">
        <f t="shared" si="256"/>
        <v>28.606670563093303</v>
      </c>
      <c r="BJ284">
        <f t="shared" si="241"/>
        <v>0</v>
      </c>
      <c r="BK284">
        <f t="shared" si="257"/>
        <v>0</v>
      </c>
      <c r="BM284">
        <f t="shared" si="258"/>
        <v>-37.337101692072963</v>
      </c>
      <c r="BN284">
        <f t="shared" si="242"/>
        <v>-92.4778590430723</v>
      </c>
      <c r="BQ284" s="66">
        <f t="shared" si="259"/>
        <v>31.361358737029565</v>
      </c>
      <c r="BR284" s="71"/>
      <c r="BS284" s="71"/>
      <c r="BT284" s="71">
        <v>54954.087</v>
      </c>
      <c r="BU284" s="71">
        <v>1.4637500000000001</v>
      </c>
      <c r="BV284" s="71">
        <v>-135.524</v>
      </c>
      <c r="BY284" s="71"/>
      <c r="BZ284" s="71"/>
      <c r="CA284" s="71"/>
      <c r="CC284" s="71"/>
    </row>
    <row r="285" spans="1:81" x14ac:dyDescent="0.2">
      <c r="A285">
        <f t="shared" si="211"/>
        <v>355000</v>
      </c>
      <c r="B285">
        <f t="shared" si="243"/>
        <v>355</v>
      </c>
      <c r="C285">
        <f t="shared" si="212"/>
        <v>22.104885755487054</v>
      </c>
      <c r="D285">
        <f t="shared" si="213"/>
        <v>1.5255420143274547</v>
      </c>
      <c r="F285">
        <f t="shared" si="214"/>
        <v>4.0400972475339344E-5</v>
      </c>
      <c r="G285">
        <f t="shared" si="215"/>
        <v>2.6157304269641105E-3</v>
      </c>
      <c r="H285">
        <f t="shared" si="216"/>
        <v>-3.1389769195730359</v>
      </c>
      <c r="J285">
        <f t="shared" si="217"/>
        <v>15</v>
      </c>
      <c r="M285">
        <f t="shared" si="218"/>
        <v>9.5028145294360992E-3</v>
      </c>
      <c r="N285">
        <f t="shared" si="219"/>
        <v>-1.5707963250000001</v>
      </c>
      <c r="O285">
        <f t="shared" si="220"/>
        <v>105.19658476893377</v>
      </c>
      <c r="P285">
        <f t="shared" si="221"/>
        <v>1.5612901715948986</v>
      </c>
      <c r="Q285">
        <f t="shared" si="222"/>
        <v>145.74631192212766</v>
      </c>
      <c r="R285">
        <f t="shared" si="223"/>
        <v>1.5639350358773176</v>
      </c>
      <c r="S285">
        <f t="shared" si="224"/>
        <v>7.526132457231384E-2</v>
      </c>
      <c r="T285">
        <f t="shared" si="225"/>
        <v>-1.4954637704695168</v>
      </c>
      <c r="U285">
        <f t="shared" si="226"/>
        <v>0.99919559321162166</v>
      </c>
      <c r="V285">
        <f t="shared" si="227"/>
        <v>-4.0112707626512097E-2</v>
      </c>
      <c r="X285">
        <f t="shared" si="244"/>
        <v>-16.667096247520178</v>
      </c>
      <c r="Y285">
        <f t="shared" si="228"/>
        <v>-91.362847489629473</v>
      </c>
      <c r="Z285">
        <f t="shared" si="245"/>
        <v>88.637152510370527</v>
      </c>
      <c r="AC285">
        <v>1</v>
      </c>
      <c r="AD285">
        <f t="shared" si="229"/>
        <v>105.19183165554001</v>
      </c>
      <c r="AE285">
        <f t="shared" si="230"/>
        <v>-2.3463361847004808E-4</v>
      </c>
      <c r="AF285">
        <f t="shared" si="231"/>
        <v>5.8462211783115005E-3</v>
      </c>
      <c r="AG285">
        <f t="shared" si="246"/>
        <v>17957.342491840991</v>
      </c>
      <c r="AH285">
        <f t="shared" si="247"/>
        <v>-891.75487686087331</v>
      </c>
      <c r="AJ285">
        <f t="shared" si="232"/>
        <v>18000</v>
      </c>
      <c r="AK285">
        <f t="shared" si="233"/>
        <v>238488.35115798001</v>
      </c>
      <c r="AL285">
        <v>1</v>
      </c>
      <c r="AM285">
        <f t="shared" si="234"/>
        <v>145.74288126320999</v>
      </c>
      <c r="AN285">
        <f t="shared" si="248"/>
        <v>1637.1339803067681</v>
      </c>
      <c r="AO285">
        <f t="shared" si="249"/>
        <v>-112.27214583566575</v>
      </c>
      <c r="AQ285">
        <f t="shared" si="235"/>
        <v>1.9837294510425488E-2</v>
      </c>
      <c r="AR285">
        <f t="shared" si="236"/>
        <v>-14.084479102402097</v>
      </c>
      <c r="AT285">
        <f t="shared" si="261"/>
        <v>-12203.677835976898</v>
      </c>
      <c r="AU285">
        <f t="shared" si="262"/>
        <v>-252937.50506513505</v>
      </c>
      <c r="AV285">
        <f t="shared" si="250"/>
        <v>-1.6190067398485104</v>
      </c>
      <c r="AW285">
        <f t="shared" si="251"/>
        <v>40426.423361066911</v>
      </c>
      <c r="AX285">
        <f t="shared" si="252"/>
        <v>-26719.735437813786</v>
      </c>
      <c r="AY285">
        <f t="shared" si="260"/>
        <v>-0.58403258429997928</v>
      </c>
      <c r="BA285">
        <f t="shared" si="237"/>
        <v>5.2257290895363377</v>
      </c>
      <c r="BB285">
        <f t="shared" si="253"/>
        <v>14.362937828571951</v>
      </c>
      <c r="BC285">
        <f t="shared" si="254"/>
        <v>-1.034974155548531</v>
      </c>
      <c r="BD285">
        <f t="shared" si="238"/>
        <v>-239.29965108580694</v>
      </c>
      <c r="BF285">
        <f t="shared" si="239"/>
        <v>-23.097635117340761</v>
      </c>
      <c r="BG285">
        <f t="shared" si="240"/>
        <v>-151.74266178110014</v>
      </c>
      <c r="BH285">
        <f t="shared" si="255"/>
        <v>28.257338218899861</v>
      </c>
      <c r="BI285">
        <f t="shared" si="256"/>
        <v>28.257338218899861</v>
      </c>
      <c r="BJ285">
        <f t="shared" si="241"/>
        <v>0</v>
      </c>
      <c r="BK285">
        <f t="shared" si="257"/>
        <v>0</v>
      </c>
      <c r="BM285">
        <f t="shared" si="258"/>
        <v>-37.460572945912716</v>
      </c>
      <c r="BN285">
        <f t="shared" si="242"/>
        <v>-92.443010695293239</v>
      </c>
      <c r="BQ285" s="66">
        <f t="shared" si="259"/>
        <v>31.26489862885709</v>
      </c>
      <c r="BR285" s="71"/>
      <c r="BS285" s="71"/>
      <c r="BT285" s="71">
        <v>56234.133000000002</v>
      </c>
      <c r="BU285" s="71">
        <v>1.62296</v>
      </c>
      <c r="BV285" s="71">
        <v>-134.983</v>
      </c>
      <c r="BY285" s="71"/>
      <c r="BZ285" s="71"/>
      <c r="CA285" s="71"/>
      <c r="CC285" s="71"/>
    </row>
    <row r="286" spans="1:81" x14ac:dyDescent="0.2">
      <c r="A286">
        <f t="shared" si="211"/>
        <v>360000</v>
      </c>
      <c r="B286">
        <f t="shared" si="243"/>
        <v>360</v>
      </c>
      <c r="C286">
        <f t="shared" si="212"/>
        <v>22.415589423270543</v>
      </c>
      <c r="D286">
        <f t="shared" si="213"/>
        <v>1.5261697064197246</v>
      </c>
      <c r="F286">
        <f t="shared" si="214"/>
        <v>3.928647619082881E-5</v>
      </c>
      <c r="G286">
        <f t="shared" si="215"/>
        <v>2.5793981009923218E-3</v>
      </c>
      <c r="H286">
        <f t="shared" si="216"/>
        <v>-3.1390132518990077</v>
      </c>
      <c r="J286">
        <f t="shared" si="217"/>
        <v>15</v>
      </c>
      <c r="M286">
        <f t="shared" si="218"/>
        <v>9.3708309943050429E-3</v>
      </c>
      <c r="N286">
        <f t="shared" si="219"/>
        <v>-1.5707963250000001</v>
      </c>
      <c r="O286">
        <f t="shared" si="220"/>
        <v>106.67809385013092</v>
      </c>
      <c r="P286">
        <f t="shared" si="221"/>
        <v>1.5614221937392061</v>
      </c>
      <c r="Q286">
        <f t="shared" si="222"/>
        <v>147.79898091269544</v>
      </c>
      <c r="R286">
        <f t="shared" si="223"/>
        <v>1.5640303286557085</v>
      </c>
      <c r="S286">
        <f t="shared" si="224"/>
        <v>7.4221827134146615E-2</v>
      </c>
      <c r="T286">
        <f t="shared" si="225"/>
        <v>-1.4965061836512605</v>
      </c>
      <c r="U286">
        <f t="shared" si="226"/>
        <v>0.99917280259853603</v>
      </c>
      <c r="V286">
        <f t="shared" si="227"/>
        <v>-4.0677056658931197E-2</v>
      </c>
      <c r="X286">
        <f t="shared" si="244"/>
        <v>-16.788369281364815</v>
      </c>
      <c r="Y286">
        <f t="shared" si="228"/>
        <v>-91.408001578760008</v>
      </c>
      <c r="Z286">
        <f t="shared" si="245"/>
        <v>88.591998421239992</v>
      </c>
      <c r="AC286">
        <v>1</v>
      </c>
      <c r="AD286">
        <f t="shared" si="229"/>
        <v>106.67340674928002</v>
      </c>
      <c r="AE286">
        <f t="shared" si="230"/>
        <v>-2.4128956122767891E-4</v>
      </c>
      <c r="AF286">
        <f t="shared" si="231"/>
        <v>5.9285623216680005E-3</v>
      </c>
      <c r="AG286">
        <f t="shared" si="246"/>
        <v>17956.523324542479</v>
      </c>
      <c r="AH286">
        <f t="shared" si="247"/>
        <v>-899.49659711986919</v>
      </c>
      <c r="AJ286">
        <f t="shared" si="232"/>
        <v>18000</v>
      </c>
      <c r="AK286">
        <f t="shared" si="233"/>
        <v>241847.34201935999</v>
      </c>
      <c r="AL286">
        <v>1</v>
      </c>
      <c r="AM286">
        <f t="shared" si="234"/>
        <v>147.79559790072</v>
      </c>
      <c r="AN286">
        <f t="shared" si="248"/>
        <v>1637.1127314369769</v>
      </c>
      <c r="AO286">
        <f t="shared" si="249"/>
        <v>-110.71295424884445</v>
      </c>
      <c r="AQ286">
        <f t="shared" si="235"/>
        <v>1.9290086245975606E-2</v>
      </c>
      <c r="AR286">
        <f t="shared" si="236"/>
        <v>-13.888862097102436</v>
      </c>
      <c r="AT286">
        <f t="shared" si="261"/>
        <v>-12146.601310602473</v>
      </c>
      <c r="AU286">
        <f t="shared" si="262"/>
        <v>-249413.02756491027</v>
      </c>
      <c r="AV286">
        <f t="shared" si="250"/>
        <v>-1.6194586285136896</v>
      </c>
      <c r="AW286">
        <f t="shared" si="251"/>
        <v>40467.395900258081</v>
      </c>
      <c r="AX286">
        <f t="shared" si="252"/>
        <v>-26393.489833671581</v>
      </c>
      <c r="AY286">
        <f t="shared" si="260"/>
        <v>-0.57793158125263111</v>
      </c>
      <c r="BA286">
        <f t="shared" si="237"/>
        <v>5.1684706509873264</v>
      </c>
      <c r="BB286">
        <f t="shared" si="253"/>
        <v>14.267241089755389</v>
      </c>
      <c r="BC286">
        <f t="shared" si="254"/>
        <v>-1.0415270472610585</v>
      </c>
      <c r="BD286">
        <f t="shared" si="238"/>
        <v>-239.67510412497003</v>
      </c>
      <c r="BF286">
        <f t="shared" si="239"/>
        <v>-23.315068936170178</v>
      </c>
      <c r="BG286">
        <f t="shared" si="240"/>
        <v>-152.0842324014418</v>
      </c>
      <c r="BH286">
        <f t="shared" si="255"/>
        <v>27.915767598558205</v>
      </c>
      <c r="BI286">
        <f t="shared" si="256"/>
        <v>27.915767598558205</v>
      </c>
      <c r="BJ286">
        <f t="shared" si="241"/>
        <v>0</v>
      </c>
      <c r="BK286">
        <f t="shared" si="257"/>
        <v>0</v>
      </c>
      <c r="BM286">
        <f t="shared" si="258"/>
        <v>-37.582310025925565</v>
      </c>
      <c r="BN286">
        <f t="shared" si="242"/>
        <v>-92.40912827647179</v>
      </c>
      <c r="BQ286" s="66">
        <f t="shared" si="259"/>
        <v>31.169201890040526</v>
      </c>
      <c r="BR286" s="71"/>
      <c r="BS286" s="71"/>
      <c r="BT286" s="71">
        <v>57543.993999999999</v>
      </c>
      <c r="BU286" s="71">
        <v>1.78169</v>
      </c>
      <c r="BV286" s="71">
        <v>-134.52199999999999</v>
      </c>
      <c r="BY286" s="71"/>
      <c r="BZ286" s="71"/>
      <c r="CA286" s="71"/>
      <c r="CC286" s="71"/>
    </row>
    <row r="287" spans="1:81" x14ac:dyDescent="0.2">
      <c r="A287">
        <f t="shared" si="211"/>
        <v>365000</v>
      </c>
      <c r="B287">
        <f t="shared" si="243"/>
        <v>365</v>
      </c>
      <c r="C287">
        <f t="shared" si="212"/>
        <v>22.72630168124963</v>
      </c>
      <c r="D287">
        <f t="shared" si="213"/>
        <v>1.5267802352305582</v>
      </c>
      <c r="F287">
        <f t="shared" si="214"/>
        <v>3.8217468841492881E-5</v>
      </c>
      <c r="G287">
        <f t="shared" si="215"/>
        <v>2.544061291381875E-3</v>
      </c>
      <c r="H287">
        <f t="shared" si="216"/>
        <v>-3.1390485887086181</v>
      </c>
      <c r="J287">
        <f t="shared" si="217"/>
        <v>15</v>
      </c>
      <c r="M287">
        <f t="shared" si="218"/>
        <v>9.2424634464378496E-3</v>
      </c>
      <c r="N287">
        <f t="shared" si="219"/>
        <v>-1.5707963250000001</v>
      </c>
      <c r="O287">
        <f t="shared" si="220"/>
        <v>108.15960473977329</v>
      </c>
      <c r="P287">
        <f t="shared" si="221"/>
        <v>1.5615505991519871</v>
      </c>
      <c r="Q287">
        <f t="shared" si="222"/>
        <v>149.8516512086147</v>
      </c>
      <c r="R287">
        <f t="shared" si="223"/>
        <v>1.564123010790941</v>
      </c>
      <c r="S287">
        <f t="shared" si="224"/>
        <v>7.3210576911501596E-2</v>
      </c>
      <c r="T287">
        <f t="shared" si="225"/>
        <v>-1.4975201927735602</v>
      </c>
      <c r="U287">
        <f t="shared" si="226"/>
        <v>0.99914969482790361</v>
      </c>
      <c r="V287">
        <f t="shared" si="227"/>
        <v>-4.1241379767786031E-2</v>
      </c>
      <c r="X287">
        <f t="shared" si="244"/>
        <v>-16.90798596338027</v>
      </c>
      <c r="Y287">
        <f t="shared" si="228"/>
        <v>-91.452809896841998</v>
      </c>
      <c r="Z287">
        <f t="shared" si="245"/>
        <v>88.547190103158002</v>
      </c>
      <c r="AC287">
        <v>1</v>
      </c>
      <c r="AD287">
        <f t="shared" si="229"/>
        <v>108.15498184302001</v>
      </c>
      <c r="AE287">
        <f t="shared" si="230"/>
        <v>-2.4803859409380802E-4</v>
      </c>
      <c r="AF287">
        <f t="shared" si="231"/>
        <v>6.0109034650245004E-3</v>
      </c>
      <c r="AG287">
        <f t="shared" si="246"/>
        <v>17955.692776666918</v>
      </c>
      <c r="AH287">
        <f t="shared" si="247"/>
        <v>-907.30200942972169</v>
      </c>
      <c r="AJ287">
        <f t="shared" si="232"/>
        <v>18000</v>
      </c>
      <c r="AK287">
        <f t="shared" si="233"/>
        <v>245206.33288074</v>
      </c>
      <c r="AL287">
        <v>1</v>
      </c>
      <c r="AM287">
        <f t="shared" si="234"/>
        <v>149.84831453823</v>
      </c>
      <c r="AN287">
        <f t="shared" si="248"/>
        <v>1637.0923497615086</v>
      </c>
      <c r="AO287">
        <f t="shared" si="249"/>
        <v>-109.1964744525966</v>
      </c>
      <c r="AQ287">
        <f t="shared" si="235"/>
        <v>1.8765211549612405E-2</v>
      </c>
      <c r="AR287">
        <f t="shared" si="236"/>
        <v>-13.698604431217055</v>
      </c>
      <c r="AT287">
        <f t="shared" si="261"/>
        <v>-12091.828953352122</v>
      </c>
      <c r="AU287">
        <f t="shared" si="262"/>
        <v>-245984.95835016784</v>
      </c>
      <c r="AV287">
        <f t="shared" si="250"/>
        <v>-1.6199135720487532</v>
      </c>
      <c r="AW287">
        <f t="shared" si="251"/>
        <v>40506.595652250478</v>
      </c>
      <c r="AX287">
        <f t="shared" si="252"/>
        <v>-26076.816344704937</v>
      </c>
      <c r="AY287">
        <f t="shared" si="260"/>
        <v>-0.57198112960252212</v>
      </c>
      <c r="BA287">
        <f t="shared" si="237"/>
        <v>5.1122867997568653</v>
      </c>
      <c r="BB287">
        <f t="shared" si="253"/>
        <v>14.172304195878407</v>
      </c>
      <c r="BC287">
        <f t="shared" si="254"/>
        <v>-1.0479324424462311</v>
      </c>
      <c r="BD287">
        <f t="shared" si="238"/>
        <v>-240.04210623561318</v>
      </c>
      <c r="BF287">
        <f t="shared" si="239"/>
        <v>-23.530056870772679</v>
      </c>
      <c r="BG287">
        <f t="shared" si="240"/>
        <v>-152.41827843796756</v>
      </c>
      <c r="BH287">
        <f t="shared" si="255"/>
        <v>27.581721562032442</v>
      </c>
      <c r="BI287">
        <f t="shared" si="256"/>
        <v>27.581721562032442</v>
      </c>
      <c r="BJ287">
        <f t="shared" si="241"/>
        <v>0</v>
      </c>
      <c r="BK287">
        <f t="shared" si="257"/>
        <v>0</v>
      </c>
      <c r="BM287">
        <f t="shared" si="258"/>
        <v>-37.702361066651086</v>
      </c>
      <c r="BN287">
        <f t="shared" si="242"/>
        <v>-92.376172202354354</v>
      </c>
      <c r="BQ287" s="66">
        <f t="shared" si="259"/>
        <v>31.074264996163542</v>
      </c>
      <c r="BR287" s="71"/>
      <c r="BS287" s="71"/>
      <c r="BT287" s="71">
        <v>58884.366000000002</v>
      </c>
      <c r="BU287" s="71">
        <v>1.9421999999999999</v>
      </c>
      <c r="BV287" s="71">
        <v>-134.059</v>
      </c>
      <c r="BY287" s="71"/>
      <c r="BZ287" s="71"/>
      <c r="CA287" s="71"/>
      <c r="CC287" s="71"/>
    </row>
    <row r="288" spans="1:81" x14ac:dyDescent="0.2">
      <c r="A288">
        <f t="shared" si="211"/>
        <v>370000</v>
      </c>
      <c r="B288">
        <f t="shared" si="243"/>
        <v>370</v>
      </c>
      <c r="C288">
        <f t="shared" si="212"/>
        <v>23.037022181843071</v>
      </c>
      <c r="D288">
        <f t="shared" si="213"/>
        <v>1.5273742947839783</v>
      </c>
      <c r="F288">
        <f t="shared" si="214"/>
        <v>3.7191508115026424E-5</v>
      </c>
      <c r="G288">
        <f t="shared" si="215"/>
        <v>2.5096796335262344E-3</v>
      </c>
      <c r="H288">
        <f t="shared" si="216"/>
        <v>-3.139082970366474</v>
      </c>
      <c r="J288">
        <f t="shared" si="217"/>
        <v>15</v>
      </c>
      <c r="M288">
        <f t="shared" si="218"/>
        <v>9.1175652917562574E-3</v>
      </c>
      <c r="N288">
        <f t="shared" si="219"/>
        <v>-1.5707963250000001</v>
      </c>
      <c r="O288">
        <f t="shared" si="220"/>
        <v>109.64111736455179</v>
      </c>
      <c r="P288">
        <f t="shared" si="221"/>
        <v>1.5616755344408892</v>
      </c>
      <c r="Q288">
        <f t="shared" si="222"/>
        <v>151.9043227569681</v>
      </c>
      <c r="R288">
        <f t="shared" si="223"/>
        <v>1.5642131881136563</v>
      </c>
      <c r="S288">
        <f t="shared" si="224"/>
        <v>7.2226440961605839E-2</v>
      </c>
      <c r="T288">
        <f t="shared" si="225"/>
        <v>-1.4985069411758618</v>
      </c>
      <c r="U288">
        <f t="shared" si="226"/>
        <v>0.99912626996587983</v>
      </c>
      <c r="V288">
        <f t="shared" si="227"/>
        <v>-4.1805676595458412E-2</v>
      </c>
      <c r="X288">
        <f t="shared" si="244"/>
        <v>-17.025991008306299</v>
      </c>
      <c r="Y288">
        <f t="shared" si="228"/>
        <v>-91.497286016335906</v>
      </c>
      <c r="Z288">
        <f t="shared" si="245"/>
        <v>88.502713983664094</v>
      </c>
      <c r="AC288">
        <v>1</v>
      </c>
      <c r="AD288">
        <f t="shared" si="229"/>
        <v>109.63655693676002</v>
      </c>
      <c r="AE288">
        <f t="shared" si="230"/>
        <v>-2.5488071706843553E-4</v>
      </c>
      <c r="AF288">
        <f t="shared" si="231"/>
        <v>6.0932446083810004E-3</v>
      </c>
      <c r="AG288">
        <f t="shared" si="246"/>
        <v>17954.85085138294</v>
      </c>
      <c r="AH288">
        <f t="shared" si="247"/>
        <v>-915.16845593023891</v>
      </c>
      <c r="AJ288">
        <f t="shared" si="232"/>
        <v>18000</v>
      </c>
      <c r="AK288">
        <f t="shared" si="233"/>
        <v>248565.32374211997</v>
      </c>
      <c r="AL288">
        <v>1</v>
      </c>
      <c r="AM288">
        <f t="shared" si="234"/>
        <v>151.90103117574</v>
      </c>
      <c r="AN288">
        <f t="shared" si="248"/>
        <v>1637.0727887265964</v>
      </c>
      <c r="AO288">
        <f t="shared" si="249"/>
        <v>-107.72097519431927</v>
      </c>
      <c r="AQ288">
        <f t="shared" si="235"/>
        <v>1.8261471399796569E-2</v>
      </c>
      <c r="AR288">
        <f t="shared" si="236"/>
        <v>-13.51348883584946</v>
      </c>
      <c r="AT288">
        <f t="shared" si="261"/>
        <v>-12039.236716824729</v>
      </c>
      <c r="AU288">
        <f t="shared" si="262"/>
        <v>-242649.3888520895</v>
      </c>
      <c r="AV288">
        <f t="shared" si="250"/>
        <v>-1.6203714452156004</v>
      </c>
      <c r="AW288">
        <f t="shared" si="251"/>
        <v>40544.11641866032</v>
      </c>
      <c r="AX288">
        <f t="shared" si="252"/>
        <v>-25769.325985112195</v>
      </c>
      <c r="AY288">
        <f t="shared" si="260"/>
        <v>-0.56617646316394066</v>
      </c>
      <c r="BA288">
        <f t="shared" si="237"/>
        <v>5.0571537447073052</v>
      </c>
      <c r="BB288">
        <f t="shared" si="253"/>
        <v>14.078123140133727</v>
      </c>
      <c r="BC288">
        <f t="shared" si="254"/>
        <v>-1.0541949820516598</v>
      </c>
      <c r="BD288">
        <f t="shared" si="238"/>
        <v>-240.4009233244478</v>
      </c>
      <c r="BF288">
        <f t="shared" si="239"/>
        <v>-23.742649082124512</v>
      </c>
      <c r="BG288">
        <f t="shared" si="240"/>
        <v>-152.74502834546288</v>
      </c>
      <c r="BH288">
        <f t="shared" si="255"/>
        <v>27.254971654537115</v>
      </c>
      <c r="BI288">
        <f t="shared" si="256"/>
        <v>27.254971654537115</v>
      </c>
      <c r="BJ288">
        <f t="shared" si="241"/>
        <v>0</v>
      </c>
      <c r="BK288">
        <f t="shared" si="257"/>
        <v>0</v>
      </c>
      <c r="BM288">
        <f t="shared" si="258"/>
        <v>-37.820772222258242</v>
      </c>
      <c r="BN288">
        <f t="shared" si="242"/>
        <v>-92.34410502101511</v>
      </c>
      <c r="BQ288" s="66">
        <f t="shared" si="259"/>
        <v>30.980083940418865</v>
      </c>
      <c r="BR288" s="71"/>
      <c r="BS288" s="71"/>
      <c r="BT288" s="71">
        <v>60255.959000000003</v>
      </c>
      <c r="BU288" s="71">
        <v>2.1075200000000001</v>
      </c>
      <c r="BV288" s="71">
        <v>-133.65100000000001</v>
      </c>
      <c r="BY288" s="71"/>
      <c r="BZ288" s="71"/>
      <c r="CA288" s="71"/>
      <c r="CC288" s="71"/>
    </row>
    <row r="289" spans="1:81" x14ac:dyDescent="0.2">
      <c r="A289">
        <f t="shared" si="211"/>
        <v>375000</v>
      </c>
      <c r="B289">
        <f t="shared" si="243"/>
        <v>375</v>
      </c>
      <c r="C289">
        <f t="shared" si="212"/>
        <v>23.347750595963575</v>
      </c>
      <c r="D289">
        <f t="shared" si="213"/>
        <v>1.5279525422057354</v>
      </c>
      <c r="F289">
        <f t="shared" si="214"/>
        <v>3.6206313438029165E-5</v>
      </c>
      <c r="G289">
        <f t="shared" si="215"/>
        <v>2.4762149159791524E-3</v>
      </c>
      <c r="H289">
        <f t="shared" si="216"/>
        <v>-3.1391164350840213</v>
      </c>
      <c r="J289">
        <f t="shared" si="217"/>
        <v>15</v>
      </c>
      <c r="M289">
        <f t="shared" si="218"/>
        <v>8.9959977545328411E-3</v>
      </c>
      <c r="N289">
        <f t="shared" si="219"/>
        <v>-1.5707963250000001</v>
      </c>
      <c r="O289">
        <f t="shared" si="220"/>
        <v>111.1226316550667</v>
      </c>
      <c r="P289">
        <f t="shared" si="221"/>
        <v>1.5617971383955707</v>
      </c>
      <c r="Q289">
        <f t="shared" si="222"/>
        <v>153.95699550766045</v>
      </c>
      <c r="R289">
        <f t="shared" si="223"/>
        <v>1.5643009608106031</v>
      </c>
      <c r="S289">
        <f t="shared" si="224"/>
        <v>7.1268345973453689E-2</v>
      </c>
      <c r="T289">
        <f t="shared" si="225"/>
        <v>-1.4994675117504048</v>
      </c>
      <c r="U289">
        <f t="shared" si="226"/>
        <v>0.9991025280795206</v>
      </c>
      <c r="V289">
        <f t="shared" si="227"/>
        <v>-4.2369946784430471E-2</v>
      </c>
      <c r="X289">
        <f t="shared" si="244"/>
        <v>-17.142427352650877</v>
      </c>
      <c r="Y289">
        <f t="shared" si="228"/>
        <v>-91.541442808395473</v>
      </c>
      <c r="Z289">
        <f t="shared" si="245"/>
        <v>88.458557191604527</v>
      </c>
      <c r="AC289">
        <v>1</v>
      </c>
      <c r="AD289">
        <f t="shared" si="229"/>
        <v>111.11813203050002</v>
      </c>
      <c r="AE289">
        <f t="shared" si="230"/>
        <v>-2.6181593015156134E-4</v>
      </c>
      <c r="AF289">
        <f t="shared" si="231"/>
        <v>6.1755857517375003E-3</v>
      </c>
      <c r="AG289">
        <f t="shared" si="246"/>
        <v>17953.997551902121</v>
      </c>
      <c r="AH289">
        <f t="shared" si="247"/>
        <v>-923.09341950052817</v>
      </c>
      <c r="AJ289">
        <f t="shared" si="232"/>
        <v>18000</v>
      </c>
      <c r="AK289">
        <f t="shared" si="233"/>
        <v>251924.31460349998</v>
      </c>
      <c r="AL289">
        <v>1</v>
      </c>
      <c r="AM289">
        <f t="shared" si="234"/>
        <v>153.95374781325</v>
      </c>
      <c r="AN289">
        <f t="shared" si="248"/>
        <v>1637.0540048609575</v>
      </c>
      <c r="AO289">
        <f t="shared" si="249"/>
        <v>-106.28481753485944</v>
      </c>
      <c r="AQ289">
        <f t="shared" si="235"/>
        <v>1.7777746172895691E-2</v>
      </c>
      <c r="AR289">
        <f t="shared" si="236"/>
        <v>-13.333309629671769</v>
      </c>
      <c r="AT289">
        <f t="shared" si="261"/>
        <v>-11988.708768046527</v>
      </c>
      <c r="AU289">
        <f t="shared" si="262"/>
        <v>-239402.61897038567</v>
      </c>
      <c r="AV289">
        <f t="shared" si="250"/>
        <v>-1.6208321294354422</v>
      </c>
      <c r="AW289">
        <f t="shared" si="251"/>
        <v>40580.045790888304</v>
      </c>
      <c r="AX289">
        <f t="shared" si="252"/>
        <v>-25470.650562173407</v>
      </c>
      <c r="AY289">
        <f t="shared" si="260"/>
        <v>-0.56051300272855431</v>
      </c>
      <c r="BA289">
        <f t="shared" si="237"/>
        <v>5.0030480526277827</v>
      </c>
      <c r="BB289">
        <f t="shared" si="253"/>
        <v>13.984693483176345</v>
      </c>
      <c r="BC289">
        <f t="shared" si="254"/>
        <v>-1.0603191267068879</v>
      </c>
      <c r="BD289">
        <f t="shared" si="238"/>
        <v>-240.75181096672091</v>
      </c>
      <c r="BF289">
        <f t="shared" si="239"/>
        <v>-23.952894290726334</v>
      </c>
      <c r="BG289">
        <f t="shared" si="240"/>
        <v>-153.06470223799741</v>
      </c>
      <c r="BH289">
        <f t="shared" si="255"/>
        <v>26.935297762002591</v>
      </c>
      <c r="BI289">
        <f t="shared" si="256"/>
        <v>26.935297762002591</v>
      </c>
      <c r="BJ289">
        <f t="shared" si="241"/>
        <v>0</v>
      </c>
      <c r="BK289">
        <f t="shared" si="257"/>
        <v>0</v>
      </c>
      <c r="BM289">
        <f t="shared" si="258"/>
        <v>-37.937587773902678</v>
      </c>
      <c r="BN289">
        <f t="shared" si="242"/>
        <v>-92.312891271276499</v>
      </c>
      <c r="BQ289" s="66">
        <f t="shared" si="259"/>
        <v>30.886654283461482</v>
      </c>
      <c r="BR289" s="71"/>
      <c r="BS289" s="71"/>
      <c r="BT289" s="71">
        <v>61659.5</v>
      </c>
      <c r="BU289" s="71">
        <v>2.2781099999999999</v>
      </c>
      <c r="BV289" s="71">
        <v>-133.24799999999999</v>
      </c>
      <c r="BY289" s="71"/>
      <c r="BZ289" s="71"/>
      <c r="CA289" s="71"/>
      <c r="CC289" s="71"/>
    </row>
    <row r="290" spans="1:81" x14ac:dyDescent="0.2">
      <c r="A290">
        <f t="shared" si="211"/>
        <v>380000</v>
      </c>
      <c r="B290">
        <f t="shared" si="243"/>
        <v>380</v>
      </c>
      <c r="C290">
        <f t="shared" si="212"/>
        <v>23.658486611804513</v>
      </c>
      <c r="D290">
        <f t="shared" si="213"/>
        <v>1.5285156001418452</v>
      </c>
      <c r="F290">
        <f t="shared" si="214"/>
        <v>3.525975329092721E-5</v>
      </c>
      <c r="G290">
        <f t="shared" si="215"/>
        <v>2.4436309387698739E-3</v>
      </c>
      <c r="H290">
        <f t="shared" si="216"/>
        <v>-3.1391490190612301</v>
      </c>
      <c r="J290">
        <f t="shared" si="217"/>
        <v>15</v>
      </c>
      <c r="M290">
        <f t="shared" si="218"/>
        <v>8.8776293630258296E-3</v>
      </c>
      <c r="N290">
        <f t="shared" si="219"/>
        <v>-1.5707963250000001</v>
      </c>
      <c r="O290">
        <f t="shared" si="220"/>
        <v>112.60414754557057</v>
      </c>
      <c r="P290">
        <f t="shared" si="221"/>
        <v>1.5619155425019571</v>
      </c>
      <c r="Q290">
        <f t="shared" si="222"/>
        <v>156.00966941323298</v>
      </c>
      <c r="R290">
        <f t="shared" si="223"/>
        <v>1.5643864237959135</v>
      </c>
      <c r="S290">
        <f t="shared" si="224"/>
        <v>7.0335274405400397E-2</v>
      </c>
      <c r="T290">
        <f t="shared" si="225"/>
        <v>-1.500402930878217</v>
      </c>
      <c r="U290">
        <f t="shared" si="226"/>
        <v>0.99907846923678001</v>
      </c>
      <c r="V290">
        <f t="shared" si="227"/>
        <v>-4.2934189977285896E-2</v>
      </c>
      <c r="X290">
        <f t="shared" si="244"/>
        <v>-17.257336247469542</v>
      </c>
      <c r="Y290">
        <f t="shared" si="228"/>
        <v>-91.585292487192163</v>
      </c>
      <c r="Z290">
        <f t="shared" si="245"/>
        <v>88.414707512807837</v>
      </c>
      <c r="AC290">
        <v>1</v>
      </c>
      <c r="AD290">
        <f t="shared" si="229"/>
        <v>112.59970712424001</v>
      </c>
      <c r="AE290">
        <f t="shared" si="230"/>
        <v>-2.688442333431855E-4</v>
      </c>
      <c r="AF290">
        <f t="shared" si="231"/>
        <v>6.2579268950940002E-3</v>
      </c>
      <c r="AG290">
        <f t="shared" si="246"/>
        <v>17953.132881478978</v>
      </c>
      <c r="AH290">
        <f t="shared" si="247"/>
        <v>-931.07451450054509</v>
      </c>
      <c r="AJ290">
        <f t="shared" si="232"/>
        <v>18000</v>
      </c>
      <c r="AK290">
        <f t="shared" si="233"/>
        <v>255283.30546488002</v>
      </c>
      <c r="AL290">
        <v>1</v>
      </c>
      <c r="AM290">
        <f t="shared" si="234"/>
        <v>156.00646445075998</v>
      </c>
      <c r="AN290">
        <f t="shared" si="248"/>
        <v>1637.0359575340838</v>
      </c>
      <c r="AO290">
        <f t="shared" si="249"/>
        <v>-104.8864487768103</v>
      </c>
      <c r="AQ290">
        <f t="shared" si="235"/>
        <v>1.7312989416569571E-2</v>
      </c>
      <c r="AR290">
        <f t="shared" si="236"/>
        <v>-13.157871956592873</v>
      </c>
      <c r="AT290">
        <f t="shared" si="261"/>
        <v>-11940.136844273733</v>
      </c>
      <c r="AU290">
        <f t="shared" si="262"/>
        <v>-236241.14335741324</v>
      </c>
      <c r="AV290">
        <f t="shared" si="250"/>
        <v>-1.62129551235078</v>
      </c>
      <c r="AW290">
        <f t="shared" si="251"/>
        <v>40614.46563709146</v>
      </c>
      <c r="AX290">
        <f t="shared" si="252"/>
        <v>-25180.441304459662</v>
      </c>
      <c r="AY290">
        <f t="shared" si="260"/>
        <v>-0.5549863475613489</v>
      </c>
      <c r="BA290">
        <f t="shared" si="237"/>
        <v>4.9499466700988135</v>
      </c>
      <c r="BB290">
        <f t="shared" si="253"/>
        <v>13.892010398846846</v>
      </c>
      <c r="BC290">
        <f t="shared" si="254"/>
        <v>-1.0663091647894309</v>
      </c>
      <c r="BD290">
        <f t="shared" si="238"/>
        <v>-241.09501486836544</v>
      </c>
      <c r="BF290">
        <f t="shared" si="239"/>
        <v>-24.16083983104761</v>
      </c>
      <c r="BG290">
        <f t="shared" si="240"/>
        <v>-153.37751222062059</v>
      </c>
      <c r="BH290">
        <f t="shared" si="255"/>
        <v>26.622487779379412</v>
      </c>
      <c r="BI290">
        <f t="shared" si="256"/>
        <v>26.622487779379412</v>
      </c>
      <c r="BJ290">
        <f t="shared" si="241"/>
        <v>0</v>
      </c>
      <c r="BK290">
        <f t="shared" si="257"/>
        <v>0</v>
      </c>
      <c r="BM290">
        <f t="shared" si="258"/>
        <v>-38.052850229894453</v>
      </c>
      <c r="BN290">
        <f t="shared" si="242"/>
        <v>-92.282497352255163</v>
      </c>
      <c r="BQ290" s="66">
        <f t="shared" si="259"/>
        <v>30.793971199131981</v>
      </c>
      <c r="BR290" s="71"/>
      <c r="BS290" s="71"/>
      <c r="BT290" s="71">
        <v>63095.733999999997</v>
      </c>
      <c r="BU290" s="71">
        <v>2.4499300000000002</v>
      </c>
      <c r="BV290" s="71">
        <v>-132.86600000000001</v>
      </c>
      <c r="BY290" s="71"/>
      <c r="BZ290" s="71"/>
      <c r="CA290" s="71"/>
      <c r="CC290" s="71"/>
    </row>
    <row r="291" spans="1:81" x14ac:dyDescent="0.2">
      <c r="A291">
        <f t="shared" si="211"/>
        <v>385000</v>
      </c>
      <c r="B291">
        <f t="shared" si="243"/>
        <v>385</v>
      </c>
      <c r="C291">
        <f t="shared" si="212"/>
        <v>23.969229933720797</v>
      </c>
      <c r="D291">
        <f t="shared" si="213"/>
        <v>1.5290640589894664</v>
      </c>
      <c r="F291">
        <f t="shared" si="214"/>
        <v>3.434983366861053E-5</v>
      </c>
      <c r="G291">
        <f t="shared" si="215"/>
        <v>2.4118933827613522E-3</v>
      </c>
      <c r="H291">
        <f t="shared" si="216"/>
        <v>-3.1391807566172387</v>
      </c>
      <c r="J291">
        <f t="shared" si="217"/>
        <v>15</v>
      </c>
      <c r="M291">
        <f t="shared" si="218"/>
        <v>8.7623354751943262E-3</v>
      </c>
      <c r="N291">
        <f t="shared" si="219"/>
        <v>-1.5707963250000001</v>
      </c>
      <c r="O291">
        <f t="shared" si="220"/>
        <v>114.08566497373106</v>
      </c>
      <c r="P291">
        <f t="shared" si="221"/>
        <v>1.5620308714164342</v>
      </c>
      <c r="Q291">
        <f t="shared" si="222"/>
        <v>158.06234442869223</v>
      </c>
      <c r="R291">
        <f t="shared" si="223"/>
        <v>1.5644696670534539</v>
      </c>
      <c r="S291">
        <f t="shared" si="224"/>
        <v>6.9426260918362598E-2</v>
      </c>
      <c r="T291">
        <f t="shared" si="225"/>
        <v>-1.5013141720620158</v>
      </c>
      <c r="U291">
        <f t="shared" si="226"/>
        <v>0.9990540935065112</v>
      </c>
      <c r="V291">
        <f t="shared" si="227"/>
        <v>-4.3498405816711376E-2</v>
      </c>
      <c r="X291">
        <f t="shared" si="244"/>
        <v>-17.370757345188931</v>
      </c>
      <c r="Y291">
        <f t="shared" si="228"/>
        <v>-91.628846650946315</v>
      </c>
      <c r="Z291">
        <f t="shared" si="245"/>
        <v>88.371153349053685</v>
      </c>
      <c r="AC291">
        <v>1</v>
      </c>
      <c r="AD291">
        <f t="shared" si="229"/>
        <v>114.08128221798002</v>
      </c>
      <c r="AE291">
        <f t="shared" si="230"/>
        <v>-2.7596562664330786E-4</v>
      </c>
      <c r="AF291">
        <f t="shared" si="231"/>
        <v>6.3402680384505011E-3</v>
      </c>
      <c r="AG291">
        <f t="shared" si="246"/>
        <v>17952.256843410909</v>
      </c>
      <c r="AH291">
        <f t="shared" si="247"/>
        <v>-939.10947823408617</v>
      </c>
      <c r="AJ291">
        <f t="shared" si="232"/>
        <v>18000</v>
      </c>
      <c r="AK291">
        <f t="shared" si="233"/>
        <v>258642.29632626</v>
      </c>
      <c r="AL291">
        <v>1</v>
      </c>
      <c r="AM291">
        <f t="shared" si="234"/>
        <v>158.05918108827001</v>
      </c>
      <c r="AN291">
        <f t="shared" si="248"/>
        <v>1637.018608736345</v>
      </c>
      <c r="AO291">
        <f t="shared" si="249"/>
        <v>-103.52439686578886</v>
      </c>
      <c r="AQ291">
        <f t="shared" si="235"/>
        <v>1.6866222185491338E-2</v>
      </c>
      <c r="AR291">
        <f t="shared" si="236"/>
        <v>-12.986991082828331</v>
      </c>
      <c r="AT291">
        <f t="shared" si="261"/>
        <v>-11893.419666973668</v>
      </c>
      <c r="AU291">
        <f t="shared" si="262"/>
        <v>-233161.63877113775</v>
      </c>
      <c r="AV291">
        <f t="shared" si="250"/>
        <v>-1.6217614874215089</v>
      </c>
      <c r="AW291">
        <f t="shared" si="251"/>
        <v>40647.452545181281</v>
      </c>
      <c r="AX291">
        <f t="shared" si="252"/>
        <v>-24898.367597275941</v>
      </c>
      <c r="AY291">
        <f t="shared" si="260"/>
        <v>-0.54959226732688915</v>
      </c>
      <c r="BA291">
        <f t="shared" si="237"/>
        <v>4.8978269413824362</v>
      </c>
      <c r="BB291">
        <f t="shared" si="253"/>
        <v>13.800068716098723</v>
      </c>
      <c r="BC291">
        <f t="shared" si="254"/>
        <v>-1.0721692200946198</v>
      </c>
      <c r="BD291">
        <f t="shared" si="238"/>
        <v>-241.43077130544967</v>
      </c>
      <c r="BF291">
        <f t="shared" si="239"/>
        <v>-24.366531703148496</v>
      </c>
      <c r="BG291">
        <f t="shared" si="240"/>
        <v>-153.68366270847702</v>
      </c>
      <c r="BH291">
        <f t="shared" si="255"/>
        <v>26.316337291522984</v>
      </c>
      <c r="BI291">
        <f t="shared" si="256"/>
        <v>26.316337291522984</v>
      </c>
      <c r="BJ291">
        <f t="shared" si="241"/>
        <v>0</v>
      </c>
      <c r="BK291">
        <f t="shared" si="257"/>
        <v>0</v>
      </c>
      <c r="BM291">
        <f t="shared" si="258"/>
        <v>-38.166600419247217</v>
      </c>
      <c r="BN291">
        <f t="shared" si="242"/>
        <v>-92.252891403027377</v>
      </c>
      <c r="BQ291" s="66">
        <f t="shared" si="259"/>
        <v>30.70202951638386</v>
      </c>
      <c r="BR291" s="71"/>
      <c r="BS291" s="71"/>
      <c r="BT291" s="71">
        <v>64565.423000000003</v>
      </c>
      <c r="BU291" s="71">
        <v>2.6258699999999999</v>
      </c>
      <c r="BV291" s="71">
        <v>-132.49799999999999</v>
      </c>
      <c r="BY291" s="71"/>
      <c r="BZ291" s="71"/>
      <c r="CA291" s="71"/>
      <c r="CC291" s="71"/>
    </row>
    <row r="292" spans="1:81" x14ac:dyDescent="0.2">
      <c r="A292">
        <f t="shared" si="211"/>
        <v>390000</v>
      </c>
      <c r="B292">
        <f t="shared" si="243"/>
        <v>390</v>
      </c>
      <c r="C292">
        <f t="shared" si="212"/>
        <v>24.279980281195638</v>
      </c>
      <c r="D292">
        <f t="shared" si="213"/>
        <v>1.5295984789568806</v>
      </c>
      <c r="F292">
        <f t="shared" si="214"/>
        <v>3.34746875700294E-5</v>
      </c>
      <c r="G292">
        <f t="shared" si="215"/>
        <v>2.3809696890601606E-3</v>
      </c>
      <c r="H292">
        <f t="shared" si="216"/>
        <v>-3.13921168031094</v>
      </c>
      <c r="J292">
        <f t="shared" si="217"/>
        <v>15</v>
      </c>
      <c r="M292">
        <f t="shared" si="218"/>
        <v>8.6499978408969627E-3</v>
      </c>
      <c r="N292">
        <f t="shared" si="219"/>
        <v>-1.5707963250000001</v>
      </c>
      <c r="O292">
        <f t="shared" si="220"/>
        <v>115.567183880412</v>
      </c>
      <c r="P292">
        <f t="shared" si="221"/>
        <v>1.5621432434035722</v>
      </c>
      <c r="Q292">
        <f t="shared" si="222"/>
        <v>160.1150205113519</v>
      </c>
      <c r="R292">
        <f t="shared" si="223"/>
        <v>1.5645507759528408</v>
      </c>
      <c r="S292">
        <f t="shared" si="224"/>
        <v>6.8540389078630054E-2</v>
      </c>
      <c r="T292">
        <f t="shared" si="225"/>
        <v>-1.5022021592828594</v>
      </c>
      <c r="U292">
        <f t="shared" si="226"/>
        <v>0.99902940095846482</v>
      </c>
      <c r="V292">
        <f t="shared" si="227"/>
        <v>-4.4062593945497865E-2</v>
      </c>
      <c r="X292">
        <f t="shared" si="244"/>
        <v>-17.482728780926159</v>
      </c>
      <c r="Y292">
        <f t="shared" si="228"/>
        <v>-91.672116319943854</v>
      </c>
      <c r="Z292">
        <f t="shared" si="245"/>
        <v>88.327883680056146</v>
      </c>
      <c r="AC292">
        <v>1</v>
      </c>
      <c r="AD292">
        <f t="shared" si="229"/>
        <v>115.56285731172002</v>
      </c>
      <c r="AE292">
        <f t="shared" si="230"/>
        <v>-2.8318011005192868E-4</v>
      </c>
      <c r="AF292">
        <f t="shared" si="231"/>
        <v>6.422609181807001E-3</v>
      </c>
      <c r="AG292">
        <f t="shared" si="246"/>
        <v>17951.369441038194</v>
      </c>
      <c r="AH292">
        <f t="shared" si="247"/>
        <v>-947.19616306848684</v>
      </c>
      <c r="AJ292">
        <f t="shared" si="232"/>
        <v>18000</v>
      </c>
      <c r="AK292">
        <f t="shared" si="233"/>
        <v>262001.28718764</v>
      </c>
      <c r="AL292">
        <v>1</v>
      </c>
      <c r="AM292">
        <f t="shared" si="234"/>
        <v>160.11189772578001</v>
      </c>
      <c r="AN292">
        <f t="shared" si="248"/>
        <v>1637.0019228787162</v>
      </c>
      <c r="AO292">
        <f t="shared" si="249"/>
        <v>-102.19726522226235</v>
      </c>
      <c r="AQ292">
        <f t="shared" si="235"/>
        <v>1.6436527882104073E-2</v>
      </c>
      <c r="AR292">
        <f t="shared" si="236"/>
        <v>-12.820491748041176</v>
      </c>
      <c r="AT292">
        <f t="shared" si="261"/>
        <v>-11848.462408056224</v>
      </c>
      <c r="AU292">
        <f t="shared" si="262"/>
        <v>-230160.95240101279</v>
      </c>
      <c r="AV292">
        <f t="shared" si="250"/>
        <v>-1.6222299535520834</v>
      </c>
      <c r="AW292">
        <f t="shared" si="251"/>
        <v>40679.078226329199</v>
      </c>
      <c r="AX292">
        <f t="shared" si="252"/>
        <v>-24624.115815680387</v>
      </c>
      <c r="AY292">
        <f t="shared" si="260"/>
        <v>-0.54432669442206949</v>
      </c>
      <c r="BA292">
        <f t="shared" si="237"/>
        <v>4.8466666227910977</v>
      </c>
      <c r="BB292">
        <f t="shared" si="253"/>
        <v>13.708862957436111</v>
      </c>
      <c r="BC292">
        <f t="shared" si="254"/>
        <v>-1.0779032591300139</v>
      </c>
      <c r="BD292">
        <f t="shared" si="238"/>
        <v>-241.7593075421164</v>
      </c>
      <c r="BF292">
        <f t="shared" si="239"/>
        <v>-24.570014621691424</v>
      </c>
      <c r="BG292">
        <f t="shared" si="240"/>
        <v>-153.98335073362651</v>
      </c>
      <c r="BH292">
        <f t="shared" si="255"/>
        <v>26.016649266373491</v>
      </c>
      <c r="BI292">
        <f t="shared" si="256"/>
        <v>26.016649266373491</v>
      </c>
      <c r="BJ292">
        <f t="shared" si="241"/>
        <v>0</v>
      </c>
      <c r="BK292">
        <f t="shared" si="257"/>
        <v>0</v>
      </c>
      <c r="BM292">
        <f t="shared" si="258"/>
        <v>-38.278877579127538</v>
      </c>
      <c r="BN292">
        <f t="shared" si="242"/>
        <v>-92.224043191510106</v>
      </c>
      <c r="BQ292" s="66">
        <f t="shared" si="259"/>
        <v>30.610823757721249</v>
      </c>
      <c r="BR292" s="71"/>
      <c r="BS292" s="71"/>
      <c r="BT292" s="71">
        <v>66069.345000000001</v>
      </c>
      <c r="BU292" s="71">
        <v>2.7940900000000002</v>
      </c>
      <c r="BV292" s="71">
        <v>-132.279</v>
      </c>
      <c r="BY292" s="71"/>
      <c r="BZ292" s="71"/>
      <c r="CA292" s="71"/>
      <c r="CC292" s="71"/>
    </row>
    <row r="293" spans="1:81" x14ac:dyDescent="0.2">
      <c r="A293">
        <f t="shared" si="211"/>
        <v>395000</v>
      </c>
      <c r="B293">
        <f t="shared" si="243"/>
        <v>395</v>
      </c>
      <c r="C293">
        <f t="shared" si="212"/>
        <v>24.590737387885483</v>
      </c>
      <c r="D293">
        <f t="shared" si="213"/>
        <v>1.530119391967647</v>
      </c>
      <c r="F293">
        <f t="shared" si="214"/>
        <v>3.2632565413209913E-5</v>
      </c>
      <c r="G293">
        <f t="shared" si="215"/>
        <v>2.3508289475872189E-3</v>
      </c>
      <c r="H293">
        <f t="shared" si="216"/>
        <v>-3.1392418210524129</v>
      </c>
      <c r="J293">
        <f t="shared" si="217"/>
        <v>15</v>
      </c>
      <c r="M293">
        <f t="shared" si="218"/>
        <v>8.5405041973413039E-3</v>
      </c>
      <c r="N293">
        <f t="shared" si="219"/>
        <v>-1.5707963250000001</v>
      </c>
      <c r="O293">
        <f t="shared" si="220"/>
        <v>117.04870420947128</v>
      </c>
      <c r="P293">
        <f t="shared" si="221"/>
        <v>1.5622527707406095</v>
      </c>
      <c r="Q293">
        <f t="shared" si="222"/>
        <v>162.16769762068699</v>
      </c>
      <c r="R293">
        <f t="shared" si="223"/>
        <v>1.56462983154146</v>
      </c>
      <c r="S293">
        <f t="shared" si="224"/>
        <v>6.7676788306866617E-2</v>
      </c>
      <c r="T293">
        <f t="shared" si="225"/>
        <v>-1.503067770104705</v>
      </c>
      <c r="U293">
        <f t="shared" si="226"/>
        <v>0.99900439166328869</v>
      </c>
      <c r="V293">
        <f t="shared" si="227"/>
        <v>-4.4626754006542001E-2</v>
      </c>
      <c r="X293">
        <f t="shared" si="244"/>
        <v>-17.593287248716432</v>
      </c>
      <c r="Y293">
        <f t="shared" si="228"/>
        <v>-91.715111971792325</v>
      </c>
      <c r="Z293">
        <f t="shared" si="245"/>
        <v>88.284888028207675</v>
      </c>
      <c r="AC293">
        <v>1</v>
      </c>
      <c r="AD293">
        <f t="shared" si="229"/>
        <v>117.04443240546</v>
      </c>
      <c r="AE293">
        <f t="shared" si="230"/>
        <v>-2.9048768356904785E-4</v>
      </c>
      <c r="AF293">
        <f t="shared" si="231"/>
        <v>6.5049503251635001E-3</v>
      </c>
      <c r="AG293">
        <f t="shared" si="246"/>
        <v>17950.470677743928</v>
      </c>
      <c r="AH293">
        <f t="shared" si="247"/>
        <v>-955.33252915282708</v>
      </c>
      <c r="AJ293">
        <f t="shared" si="232"/>
        <v>18000</v>
      </c>
      <c r="AK293">
        <f t="shared" si="233"/>
        <v>265360.27804901998</v>
      </c>
      <c r="AL293">
        <v>1</v>
      </c>
      <c r="AM293">
        <f t="shared" si="234"/>
        <v>162.16461436328999</v>
      </c>
      <c r="AN293">
        <f t="shared" si="248"/>
        <v>1636.9858666101177</v>
      </c>
      <c r="AO293">
        <f t="shared" si="249"/>
        <v>-100.90372796578524</v>
      </c>
      <c r="AQ293">
        <f t="shared" si="235"/>
        <v>1.6023047551598221E-2</v>
      </c>
      <c r="AR293">
        <f t="shared" si="236"/>
        <v>-12.658207565762593</v>
      </c>
      <c r="AT293">
        <f t="shared" si="261"/>
        <v>-11805.176203098368</v>
      </c>
      <c r="AU293">
        <f t="shared" si="262"/>
        <v>-227236.09108056</v>
      </c>
      <c r="AV293">
        <f t="shared" si="250"/>
        <v>-1.6227008147469937</v>
      </c>
      <c r="AW293">
        <f t="shared" si="251"/>
        <v>40709.409882951441</v>
      </c>
      <c r="AX293">
        <f t="shared" si="252"/>
        <v>-24357.388246403239</v>
      </c>
      <c r="AY293">
        <f t="shared" si="260"/>
        <v>-0.53918571669300552</v>
      </c>
      <c r="BA293">
        <f t="shared" si="237"/>
        <v>4.7964438939418486</v>
      </c>
      <c r="BB293">
        <f t="shared" si="253"/>
        <v>13.618387374143534</v>
      </c>
      <c r="BC293">
        <f t="shared" si="254"/>
        <v>-1.0835150980539883</v>
      </c>
      <c r="BD293">
        <f t="shared" si="238"/>
        <v>-242.08084222813477</v>
      </c>
      <c r="BF293">
        <f t="shared" si="239"/>
        <v>-24.771332062532736</v>
      </c>
      <c r="BG293">
        <f t="shared" si="240"/>
        <v>-154.27676623988017</v>
      </c>
      <c r="BH293">
        <f t="shared" si="255"/>
        <v>25.723233760119825</v>
      </c>
      <c r="BI293">
        <f t="shared" si="256"/>
        <v>25.723233760119825</v>
      </c>
      <c r="BJ293">
        <f t="shared" si="241"/>
        <v>0</v>
      </c>
      <c r="BK293">
        <f t="shared" si="257"/>
        <v>0</v>
      </c>
      <c r="BM293">
        <f t="shared" si="258"/>
        <v>-38.389719436676273</v>
      </c>
      <c r="BN293">
        <f t="shared" si="242"/>
        <v>-92.195924011745404</v>
      </c>
      <c r="BQ293" s="66">
        <f t="shared" si="259"/>
        <v>30.520348174428669</v>
      </c>
      <c r="BR293" s="71"/>
      <c r="BS293" s="71"/>
      <c r="BT293" s="71">
        <v>67608.297999999995</v>
      </c>
      <c r="BU293" s="71">
        <v>2.9581400000000002</v>
      </c>
      <c r="BV293" s="71">
        <v>-132.03399999999999</v>
      </c>
      <c r="BY293" s="71"/>
      <c r="BZ293" s="71"/>
      <c r="CA293" s="71"/>
      <c r="CC293" s="71"/>
    </row>
    <row r="294" spans="1:81" x14ac:dyDescent="0.2">
      <c r="A294">
        <f t="shared" si="211"/>
        <v>400000</v>
      </c>
      <c r="B294">
        <f t="shared" si="243"/>
        <v>400</v>
      </c>
      <c r="C294">
        <f t="shared" si="212"/>
        <v>24.901501000736417</v>
      </c>
      <c r="D294">
        <f t="shared" si="213"/>
        <v>1.5306273034225049</v>
      </c>
      <c r="F294">
        <f t="shared" si="214"/>
        <v>3.1821826283724147E-5</v>
      </c>
      <c r="G294">
        <f t="shared" si="215"/>
        <v>2.3214417940075542E-3</v>
      </c>
      <c r="H294">
        <f t="shared" si="216"/>
        <v>-3.1392712082059928</v>
      </c>
      <c r="J294">
        <f t="shared" si="217"/>
        <v>15</v>
      </c>
      <c r="M294">
        <f t="shared" si="218"/>
        <v>8.4337478948745374E-3</v>
      </c>
      <c r="N294">
        <f t="shared" si="219"/>
        <v>-1.5707963250000001</v>
      </c>
      <c r="O294">
        <f t="shared" si="220"/>
        <v>118.53022590757355</v>
      </c>
      <c r="P294">
        <f t="shared" si="221"/>
        <v>1.5623595600916056</v>
      </c>
      <c r="Q294">
        <f t="shared" si="222"/>
        <v>164.2203757181986</v>
      </c>
      <c r="R294">
        <f t="shared" si="223"/>
        <v>1.5647069108145846</v>
      </c>
      <c r="S294">
        <f t="shared" si="224"/>
        <v>6.6834631052169663E-2</v>
      </c>
      <c r="T294">
        <f t="shared" si="225"/>
        <v>-1.5039118385486605</v>
      </c>
      <c r="U294">
        <f t="shared" si="226"/>
        <v>0.9989790656925277</v>
      </c>
      <c r="V294">
        <f t="shared" si="227"/>
        <v>-4.5190885642847393E-2</v>
      </c>
      <c r="X294">
        <f t="shared" si="244"/>
        <v>-17.702468073025713</v>
      </c>
      <c r="Y294">
        <f t="shared" si="228"/>
        <v>-91.757843574145411</v>
      </c>
      <c r="Z294">
        <f t="shared" si="245"/>
        <v>88.242156425854589</v>
      </c>
      <c r="AC294">
        <v>1</v>
      </c>
      <c r="AD294">
        <f t="shared" si="229"/>
        <v>118.52600749920001</v>
      </c>
      <c r="AE294">
        <f t="shared" si="230"/>
        <v>-2.9788834719466533E-4</v>
      </c>
      <c r="AF294">
        <f t="shared" si="231"/>
        <v>6.58729146852E-3</v>
      </c>
      <c r="AG294">
        <f t="shared" si="246"/>
        <v>17949.560556954009</v>
      </c>
      <c r="AH294">
        <f t="shared" si="247"/>
        <v>-963.51663768228423</v>
      </c>
      <c r="AJ294">
        <f t="shared" si="232"/>
        <v>18000</v>
      </c>
      <c r="AK294">
        <f t="shared" si="233"/>
        <v>268719.26891039999</v>
      </c>
      <c r="AL294">
        <v>1</v>
      </c>
      <c r="AM294">
        <f t="shared" si="234"/>
        <v>164.21733100080002</v>
      </c>
      <c r="AN294">
        <f t="shared" si="248"/>
        <v>1636.970408650642</v>
      </c>
      <c r="AO294">
        <f t="shared" si="249"/>
        <v>-99.642525497321856</v>
      </c>
      <c r="AQ294">
        <f t="shared" si="235"/>
        <v>1.5624975585975647E-2</v>
      </c>
      <c r="AR294">
        <f t="shared" si="236"/>
        <v>-12.499980468780517</v>
      </c>
      <c r="AT294">
        <f t="shared" si="261"/>
        <v>-11763.477706892229</v>
      </c>
      <c r="AU294">
        <f t="shared" si="262"/>
        <v>-224384.21130905874</v>
      </c>
      <c r="AV294">
        <f t="shared" si="250"/>
        <v>-1.6231739797920759</v>
      </c>
      <c r="AW294">
        <f t="shared" si="251"/>
        <v>40738.510544703153</v>
      </c>
      <c r="AX294">
        <f t="shared" si="252"/>
        <v>-24097.902090860793</v>
      </c>
      <c r="AY294">
        <f t="shared" si="260"/>
        <v>-0.5341655705150945</v>
      </c>
      <c r="BA294">
        <f t="shared" si="237"/>
        <v>4.7471373662600733</v>
      </c>
      <c r="BB294">
        <f t="shared" si="253"/>
        <v>13.528635978566058</v>
      </c>
      <c r="BC294">
        <f t="shared" si="254"/>
        <v>-1.0890084092769814</v>
      </c>
      <c r="BD294">
        <f t="shared" si="238"/>
        <v>-242.39558577712378</v>
      </c>
      <c r="BF294">
        <f t="shared" si="239"/>
        <v>-24.970526307065629</v>
      </c>
      <c r="BG294">
        <f t="shared" si="240"/>
        <v>-154.56409236598017</v>
      </c>
      <c r="BH294">
        <f t="shared" si="255"/>
        <v>25.435907634019827</v>
      </c>
      <c r="BI294">
        <f t="shared" si="256"/>
        <v>25.435907634019827</v>
      </c>
      <c r="BJ294">
        <f t="shared" si="241"/>
        <v>0</v>
      </c>
      <c r="BK294">
        <f t="shared" si="257"/>
        <v>0</v>
      </c>
      <c r="BM294">
        <f t="shared" si="258"/>
        <v>-38.499162285631684</v>
      </c>
      <c r="BN294">
        <f t="shared" si="242"/>
        <v>-92.168506588856403</v>
      </c>
      <c r="BQ294" s="66">
        <f t="shared" si="259"/>
        <v>30.430596778851189</v>
      </c>
      <c r="BR294" s="71"/>
      <c r="BS294" s="71"/>
      <c r="BT294" s="71">
        <v>69183.096999999994</v>
      </c>
      <c r="BU294" s="71">
        <v>3.15646</v>
      </c>
      <c r="BV294" s="71">
        <v>-131.40799999999999</v>
      </c>
      <c r="BY294" s="71"/>
      <c r="BZ294" s="71"/>
      <c r="CA294" s="71"/>
      <c r="CC294" s="71"/>
    </row>
    <row r="295" spans="1:81" x14ac:dyDescent="0.2">
      <c r="A295">
        <f t="shared" si="211"/>
        <v>405000</v>
      </c>
      <c r="B295">
        <f t="shared" si="243"/>
        <v>405</v>
      </c>
      <c r="C295">
        <f t="shared" si="212"/>
        <v>25.212270879165818</v>
      </c>
      <c r="D295">
        <f t="shared" si="213"/>
        <v>1.5311226938312634</v>
      </c>
      <c r="F295">
        <f t="shared" si="214"/>
        <v>3.1040929934806007E-5</v>
      </c>
      <c r="G295">
        <f t="shared" si="215"/>
        <v>2.2927803142965392E-3</v>
      </c>
      <c r="H295">
        <f t="shared" si="216"/>
        <v>-3.1392998696857037</v>
      </c>
      <c r="J295">
        <f t="shared" si="217"/>
        <v>15</v>
      </c>
      <c r="M295">
        <f t="shared" si="218"/>
        <v>8.3296275504933705E-3</v>
      </c>
      <c r="N295">
        <f t="shared" si="219"/>
        <v>-1.5707963250000001</v>
      </c>
      <c r="O295">
        <f t="shared" si="220"/>
        <v>120.0117489240171</v>
      </c>
      <c r="P295">
        <f t="shared" si="221"/>
        <v>1.5624637128538839</v>
      </c>
      <c r="Q295">
        <f t="shared" si="222"/>
        <v>166.27305476728898</v>
      </c>
      <c r="R295">
        <f t="shared" si="223"/>
        <v>1.5647820869654878</v>
      </c>
      <c r="S295">
        <f t="shared" si="224"/>
        <v>6.6013130172099699E-2</v>
      </c>
      <c r="T295">
        <f t="shared" si="225"/>
        <v>-1.5047351577565851</v>
      </c>
      <c r="U295">
        <f t="shared" si="226"/>
        <v>0.99895342311862279</v>
      </c>
      <c r="V295">
        <f t="shared" si="227"/>
        <v>-4.5754988497526003E-2</v>
      </c>
      <c r="X295">
        <f t="shared" si="244"/>
        <v>-17.810305275893178</v>
      </c>
      <c r="Y295">
        <f t="shared" si="228"/>
        <v>-91.800320615103416</v>
      </c>
      <c r="Z295">
        <f t="shared" si="245"/>
        <v>88.199679384896584</v>
      </c>
      <c r="AC295">
        <v>1</v>
      </c>
      <c r="AD295">
        <f t="shared" si="229"/>
        <v>120.00758259294003</v>
      </c>
      <c r="AE295">
        <f t="shared" si="230"/>
        <v>-3.053821009287811E-4</v>
      </c>
      <c r="AF295">
        <f t="shared" si="231"/>
        <v>6.6696326118765E-3</v>
      </c>
      <c r="AG295">
        <f t="shared" si="246"/>
        <v>17948.639082137113</v>
      </c>
      <c r="AH295">
        <f t="shared" si="247"/>
        <v>-971.74664466143349</v>
      </c>
      <c r="AJ295">
        <f t="shared" si="232"/>
        <v>18000</v>
      </c>
      <c r="AK295">
        <f t="shared" si="233"/>
        <v>272078.25977177994</v>
      </c>
      <c r="AL295">
        <v>1</v>
      </c>
      <c r="AM295">
        <f t="shared" si="234"/>
        <v>166.27004763830999</v>
      </c>
      <c r="AN295">
        <f t="shared" si="248"/>
        <v>1636.9555196391059</v>
      </c>
      <c r="AO295">
        <f t="shared" si="249"/>
        <v>-98.412460408718331</v>
      </c>
      <c r="AQ295">
        <f t="shared" si="235"/>
        <v>1.524155579704954E-2</v>
      </c>
      <c r="AR295">
        <f t="shared" si="236"/>
        <v>-12.345660195610128</v>
      </c>
      <c r="AT295">
        <f t="shared" si="261"/>
        <v>-11723.288687162862</v>
      </c>
      <c r="AU295">
        <f t="shared" si="262"/>
        <v>-221602.61001241766</v>
      </c>
      <c r="AV295">
        <f t="shared" si="250"/>
        <v>-1.6236493619594257</v>
      </c>
      <c r="AW295">
        <f t="shared" si="251"/>
        <v>40766.439375620714</v>
      </c>
      <c r="AX295">
        <f t="shared" si="252"/>
        <v>-23845.388542232977</v>
      </c>
      <c r="AY295">
        <f t="shared" si="260"/>
        <v>-0.52926263421654318</v>
      </c>
      <c r="BA295">
        <f t="shared" si="237"/>
        <v>4.6987260890592806</v>
      </c>
      <c r="BB295">
        <f t="shared" si="253"/>
        <v>13.439602573677458</v>
      </c>
      <c r="BC295">
        <f t="shared" si="254"/>
        <v>-1.0943867277428825</v>
      </c>
      <c r="BD295">
        <f t="shared" si="238"/>
        <v>-242.70374072644933</v>
      </c>
      <c r="BF295">
        <f t="shared" si="239"/>
        <v>-25.167638484468743</v>
      </c>
      <c r="BG295">
        <f t="shared" si="240"/>
        <v>-154.84550571746405</v>
      </c>
      <c r="BH295">
        <f t="shared" si="255"/>
        <v>25.15449428253595</v>
      </c>
      <c r="BI295">
        <f t="shared" si="256"/>
        <v>25.15449428253595</v>
      </c>
      <c r="BJ295">
        <f t="shared" si="241"/>
        <v>0</v>
      </c>
      <c r="BK295">
        <f t="shared" si="257"/>
        <v>0</v>
      </c>
      <c r="BM295">
        <f t="shared" si="258"/>
        <v>-38.607241058146201</v>
      </c>
      <c r="BN295">
        <f t="shared" si="242"/>
        <v>-92.141764991014753</v>
      </c>
      <c r="BQ295" s="66">
        <f t="shared" si="259"/>
        <v>30.341563373962597</v>
      </c>
      <c r="BR295" s="71"/>
      <c r="BS295" s="71"/>
      <c r="BT295" s="71">
        <v>70794.577999999994</v>
      </c>
      <c r="BU295" s="71">
        <v>3.32565</v>
      </c>
      <c r="BV295" s="71">
        <v>-131.172</v>
      </c>
      <c r="BY295" s="71"/>
      <c r="BZ295" s="71"/>
      <c r="CA295" s="71"/>
      <c r="CC295" s="71"/>
    </row>
    <row r="296" spans="1:81" x14ac:dyDescent="0.2">
      <c r="A296">
        <f t="shared" si="211"/>
        <v>410000</v>
      </c>
      <c r="B296">
        <f t="shared" si="243"/>
        <v>410</v>
      </c>
      <c r="C296">
        <f t="shared" si="212"/>
        <v>25.523046794303706</v>
      </c>
      <c r="D296">
        <f t="shared" si="213"/>
        <v>1.5316060203257293</v>
      </c>
      <c r="F296">
        <f t="shared" si="214"/>
        <v>3.0288429466227899E-5</v>
      </c>
      <c r="G296">
        <f t="shared" si="215"/>
        <v>2.2648179562905447E-3</v>
      </c>
      <c r="H296">
        <f t="shared" si="216"/>
        <v>-3.1393278320437097</v>
      </c>
      <c r="J296">
        <f t="shared" si="217"/>
        <v>15</v>
      </c>
      <c r="M296">
        <f t="shared" si="218"/>
        <v>8.2280467267068676E-3</v>
      </c>
      <c r="N296">
        <f t="shared" si="219"/>
        <v>-1.5707963250000001</v>
      </c>
      <c r="O296">
        <f t="shared" si="220"/>
        <v>121.49327321057328</v>
      </c>
      <c r="P296">
        <f t="shared" si="221"/>
        <v>1.5625653254791299</v>
      </c>
      <c r="Q296">
        <f t="shared" si="222"/>
        <v>168.32573473314551</v>
      </c>
      <c r="R296">
        <f t="shared" si="223"/>
        <v>1.5648554296172539</v>
      </c>
      <c r="S296">
        <f t="shared" si="224"/>
        <v>6.5211536501415909E-2</v>
      </c>
      <c r="T296">
        <f t="shared" si="225"/>
        <v>-1.505538482461811</v>
      </c>
      <c r="U296">
        <f t="shared" si="226"/>
        <v>0.99892746401491028</v>
      </c>
      <c r="V296">
        <f t="shared" si="227"/>
        <v>-4.6319062213799486E-2</v>
      </c>
      <c r="X296">
        <f t="shared" si="244"/>
        <v>-17.916831640019385</v>
      </c>
      <c r="Y296">
        <f t="shared" si="228"/>
        <v>-91.842552131479309</v>
      </c>
      <c r="Z296">
        <f t="shared" si="245"/>
        <v>88.157447868520691</v>
      </c>
      <c r="AC296">
        <v>1</v>
      </c>
      <c r="AD296">
        <f t="shared" si="229"/>
        <v>121.48915768668</v>
      </c>
      <c r="AE296">
        <f t="shared" si="230"/>
        <v>-3.1296894477139529E-4</v>
      </c>
      <c r="AF296">
        <f t="shared" si="231"/>
        <v>6.7519737552329999E-3</v>
      </c>
      <c r="AG296">
        <f t="shared" si="246"/>
        <v>17947.706256804642</v>
      </c>
      <c r="AH296">
        <f t="shared" si="247"/>
        <v>-980.02079512389548</v>
      </c>
      <c r="AJ296">
        <f t="shared" si="232"/>
        <v>18000</v>
      </c>
      <c r="AK296">
        <f t="shared" si="233"/>
        <v>275437.25063316</v>
      </c>
      <c r="AL296">
        <v>1</v>
      </c>
      <c r="AM296">
        <f t="shared" si="234"/>
        <v>168.32276427581999</v>
      </c>
      <c r="AN296">
        <f t="shared" si="248"/>
        <v>1636.9411719935295</v>
      </c>
      <c r="AO296">
        <f t="shared" si="249"/>
        <v>-97.212393691404387</v>
      </c>
      <c r="AQ296">
        <f t="shared" si="235"/>
        <v>1.4872077822608831E-2</v>
      </c>
      <c r="AR296">
        <f t="shared" si="236"/>
        <v>-12.195103814539241</v>
      </c>
      <c r="AT296">
        <f t="shared" si="261"/>
        <v>-11684.535652754676</v>
      </c>
      <c r="AU296">
        <f t="shared" si="262"/>
        <v>-218888.71598012096</v>
      </c>
      <c r="AV296">
        <f t="shared" si="250"/>
        <v>-1.6241268787338972</v>
      </c>
      <c r="AW296">
        <f t="shared" si="251"/>
        <v>40793.251955209256</v>
      </c>
      <c r="AX296">
        <f t="shared" si="252"/>
        <v>-23599.591930261551</v>
      </c>
      <c r="AY296">
        <f t="shared" si="260"/>
        <v>-0.52447342182683387</v>
      </c>
      <c r="BA296">
        <f t="shared" si="237"/>
        <v>4.6511895534891528</v>
      </c>
      <c r="BB296">
        <f t="shared" si="253"/>
        <v>13.351280780154539</v>
      </c>
      <c r="BC296">
        <f t="shared" si="254"/>
        <v>-1.0996534569070633</v>
      </c>
      <c r="BD296">
        <f t="shared" si="238"/>
        <v>-243.00550207974015</v>
      </c>
      <c r="BF296">
        <f t="shared" si="239"/>
        <v>-25.362708612000034</v>
      </c>
      <c r="BG296">
        <f t="shared" si="240"/>
        <v>-155.12117662756432</v>
      </c>
      <c r="BH296">
        <f t="shared" si="255"/>
        <v>24.878823372435676</v>
      </c>
      <c r="BI296">
        <f t="shared" si="256"/>
        <v>24.878823372435676</v>
      </c>
      <c r="BJ296">
        <f t="shared" si="241"/>
        <v>0</v>
      </c>
      <c r="BK296">
        <f t="shared" si="257"/>
        <v>0</v>
      </c>
      <c r="BM296">
        <f t="shared" si="258"/>
        <v>-38.713989392154573</v>
      </c>
      <c r="BN296">
        <f t="shared" si="242"/>
        <v>-92.115674547824156</v>
      </c>
      <c r="BQ296" s="66">
        <f t="shared" si="259"/>
        <v>30.253241580439678</v>
      </c>
      <c r="BR296" s="71"/>
      <c r="BS296" s="71"/>
      <c r="BT296" s="71">
        <v>72443.596000000005</v>
      </c>
      <c r="BU296" s="71">
        <v>3.4992100000000002</v>
      </c>
      <c r="BV296" s="71">
        <v>-130.929</v>
      </c>
      <c r="BY296" s="71"/>
      <c r="BZ296" s="71"/>
      <c r="CA296" s="71"/>
      <c r="CC296" s="71"/>
    </row>
    <row r="297" spans="1:81" x14ac:dyDescent="0.2">
      <c r="A297">
        <f t="shared" si="211"/>
        <v>415000</v>
      </c>
      <c r="B297">
        <f t="shared" si="243"/>
        <v>415</v>
      </c>
      <c r="C297">
        <f t="shared" si="212"/>
        <v>25.833828528288809</v>
      </c>
      <c r="D297">
        <f t="shared" si="213"/>
        <v>1.5320777180636644</v>
      </c>
      <c r="F297">
        <f t="shared" si="214"/>
        <v>2.9562964616909149E-5</v>
      </c>
      <c r="G297">
        <f t="shared" si="215"/>
        <v>2.2375294476328408E-3</v>
      </c>
      <c r="H297">
        <f t="shared" si="216"/>
        <v>-3.1393551205523673</v>
      </c>
      <c r="J297">
        <f t="shared" si="217"/>
        <v>15</v>
      </c>
      <c r="M297">
        <f t="shared" si="218"/>
        <v>8.1289136336140117E-3</v>
      </c>
      <c r="N297">
        <f t="shared" si="219"/>
        <v>-1.5707963250000001</v>
      </c>
      <c r="O297">
        <f t="shared" si="220"/>
        <v>122.97479872133746</v>
      </c>
      <c r="P297">
        <f t="shared" si="221"/>
        <v>1.5626644897712805</v>
      </c>
      <c r="Q297">
        <f t="shared" si="222"/>
        <v>170.37841558263321</v>
      </c>
      <c r="R297">
        <f t="shared" si="223"/>
        <v>1.5649270050378357</v>
      </c>
      <c r="S297">
        <f t="shared" si="224"/>
        <v>6.4429136593883884E-2</v>
      </c>
      <c r="T297">
        <f t="shared" si="225"/>
        <v>-1.5063225312830586</v>
      </c>
      <c r="U297">
        <f t="shared" si="226"/>
        <v>0.99890118845562215</v>
      </c>
      <c r="V297">
        <f t="shared" si="227"/>
        <v>-4.6883106435000502E-2</v>
      </c>
      <c r="X297">
        <f t="shared" si="244"/>
        <v>-18.022078768089568</v>
      </c>
      <c r="Y297">
        <f t="shared" si="228"/>
        <v>-91.884546735101466</v>
      </c>
      <c r="Z297">
        <f t="shared" si="245"/>
        <v>88.115453264898534</v>
      </c>
      <c r="AC297">
        <v>1</v>
      </c>
      <c r="AD297">
        <f t="shared" si="229"/>
        <v>122.97073278042001</v>
      </c>
      <c r="AE297">
        <f t="shared" si="230"/>
        <v>-3.2064887872250777E-4</v>
      </c>
      <c r="AF297">
        <f t="shared" si="231"/>
        <v>6.8343148985894999E-3</v>
      </c>
      <c r="AG297">
        <f t="shared" si="246"/>
        <v>17946.762084510698</v>
      </c>
      <c r="AH297">
        <f t="shared" si="247"/>
        <v>-988.33741776985141</v>
      </c>
      <c r="AJ297">
        <f t="shared" si="232"/>
        <v>18000</v>
      </c>
      <c r="AK297">
        <f t="shared" si="233"/>
        <v>278796.24149454001</v>
      </c>
      <c r="AL297">
        <v>1</v>
      </c>
      <c r="AM297">
        <f t="shared" si="234"/>
        <v>170.37548091332999</v>
      </c>
      <c r="AN297">
        <f t="shared" si="248"/>
        <v>1636.9273397833083</v>
      </c>
      <c r="AO297">
        <f t="shared" si="249"/>
        <v>-96.041241219096463</v>
      </c>
      <c r="AQ297">
        <f t="shared" si="235"/>
        <v>1.4515873833830985E-2</v>
      </c>
      <c r="AR297">
        <f t="shared" si="236"/>
        <v>-12.048175282079718</v>
      </c>
      <c r="AT297">
        <f t="shared" si="261"/>
        <v>-11647.149512984681</v>
      </c>
      <c r="AU297">
        <f t="shared" si="262"/>
        <v>-216240.08192122888</v>
      </c>
      <c r="AV297">
        <f t="shared" si="250"/>
        <v>-1.6246064515593719</v>
      </c>
      <c r="AW297">
        <f t="shared" si="251"/>
        <v>40819.000535971267</v>
      </c>
      <c r="AX297">
        <f t="shared" si="252"/>
        <v>-23360.268928039583</v>
      </c>
      <c r="AY297">
        <f t="shared" si="260"/>
        <v>-0.51979457713268606</v>
      </c>
      <c r="BA297">
        <f t="shared" si="237"/>
        <v>4.6045076946135106</v>
      </c>
      <c r="BB297">
        <f t="shared" si="253"/>
        <v>13.263664061158115</v>
      </c>
      <c r="BC297">
        <f t="shared" si="254"/>
        <v>-1.1048118744266859</v>
      </c>
      <c r="BD297">
        <f t="shared" si="238"/>
        <v>-243.3010576329186</v>
      </c>
      <c r="BF297">
        <f t="shared" si="239"/>
        <v>-25.555775633462517</v>
      </c>
      <c r="BG297">
        <f t="shared" si="240"/>
        <v>-155.39126940749941</v>
      </c>
      <c r="BH297">
        <f t="shared" si="255"/>
        <v>24.608730592500592</v>
      </c>
      <c r="BI297">
        <f t="shared" si="256"/>
        <v>24.608730592500592</v>
      </c>
      <c r="BJ297">
        <f t="shared" si="241"/>
        <v>0</v>
      </c>
      <c r="BK297">
        <f t="shared" si="257"/>
        <v>0</v>
      </c>
      <c r="BM297">
        <f t="shared" si="258"/>
        <v>-38.819439694620634</v>
      </c>
      <c r="BN297">
        <f t="shared" si="242"/>
        <v>-92.090211774580794</v>
      </c>
      <c r="BQ297" s="66">
        <f t="shared" si="259"/>
        <v>30.165624861443252</v>
      </c>
      <c r="BR297" s="71"/>
      <c r="BS297" s="71"/>
      <c r="BT297" s="71">
        <v>74131.024000000005</v>
      </c>
      <c r="BU297" s="71">
        <v>3.6540400000000002</v>
      </c>
      <c r="BV297" s="71">
        <v>-130.88900000000001</v>
      </c>
      <c r="BY297" s="71"/>
      <c r="BZ297" s="71"/>
      <c r="CA297" s="71"/>
      <c r="CC297" s="71"/>
    </row>
    <row r="298" spans="1:81" x14ac:dyDescent="0.2">
      <c r="A298">
        <f t="shared" si="211"/>
        <v>420000</v>
      </c>
      <c r="B298">
        <f t="shared" si="243"/>
        <v>420</v>
      </c>
      <c r="C298">
        <f t="shared" si="212"/>
        <v>26.144615873614754</v>
      </c>
      <c r="D298">
        <f t="shared" si="213"/>
        <v>1.5325382015328157</v>
      </c>
      <c r="F298">
        <f t="shared" si="214"/>
        <v>2.8863255613152858E-5</v>
      </c>
      <c r="G298">
        <f t="shared" si="215"/>
        <v>2.2108907195816582E-3</v>
      </c>
      <c r="H298">
        <f t="shared" si="216"/>
        <v>-3.1393817592804187</v>
      </c>
      <c r="J298">
        <f t="shared" si="217"/>
        <v>15</v>
      </c>
      <c r="M298">
        <f t="shared" si="218"/>
        <v>8.0321408522614646E-3</v>
      </c>
      <c r="N298">
        <f t="shared" si="219"/>
        <v>-1.5707963250000001</v>
      </c>
      <c r="O298">
        <f t="shared" si="220"/>
        <v>124.45632541259087</v>
      </c>
      <c r="P298">
        <f t="shared" si="221"/>
        <v>1.5627612931631378</v>
      </c>
      <c r="Q298">
        <f t="shared" si="222"/>
        <v>172.43109728419495</v>
      </c>
      <c r="R298">
        <f t="shared" si="223"/>
        <v>1.5649968763397499</v>
      </c>
      <c r="S298">
        <f t="shared" si="224"/>
        <v>6.3665250622981021E-2</v>
      </c>
      <c r="T298">
        <f t="shared" si="225"/>
        <v>-1.5070879888561159</v>
      </c>
      <c r="U298">
        <f t="shared" si="226"/>
        <v>0.99887459651588384</v>
      </c>
      <c r="V298">
        <f t="shared" si="227"/>
        <v>-4.7447120804574097E-2</v>
      </c>
      <c r="X298">
        <f t="shared" si="244"/>
        <v>-18.126077138597893</v>
      </c>
      <c r="Y298">
        <f t="shared" si="228"/>
        <v>-91.92631263730928</v>
      </c>
      <c r="Z298">
        <f t="shared" si="245"/>
        <v>88.07368736269072</v>
      </c>
      <c r="AC298">
        <v>1</v>
      </c>
      <c r="AD298">
        <f t="shared" si="229"/>
        <v>124.45230787416001</v>
      </c>
      <c r="AE298">
        <f t="shared" si="230"/>
        <v>-3.2842190278211856E-4</v>
      </c>
      <c r="AF298">
        <f t="shared" si="231"/>
        <v>6.9166560419460007E-3</v>
      </c>
      <c r="AG298">
        <f t="shared" si="246"/>
        <v>17945.806568852047</v>
      </c>
      <c r="AH298">
        <f t="shared" si="247"/>
        <v>-996.69491998660419</v>
      </c>
      <c r="AJ298">
        <f t="shared" si="232"/>
        <v>18000</v>
      </c>
      <c r="AK298">
        <f t="shared" si="233"/>
        <v>282155.23235591996</v>
      </c>
      <c r="AL298">
        <v>1</v>
      </c>
      <c r="AM298">
        <f t="shared" si="234"/>
        <v>172.42819755084</v>
      </c>
      <c r="AN298">
        <f t="shared" si="248"/>
        <v>1636.9139986119783</v>
      </c>
      <c r="AO298">
        <f t="shared" si="249"/>
        <v>-94.897970481674889</v>
      </c>
      <c r="AQ298">
        <f t="shared" si="235"/>
        <v>1.4172315515425856E-2</v>
      </c>
      <c r="AR298">
        <f t="shared" si="236"/>
        <v>-11.90474503295772</v>
      </c>
      <c r="AT298">
        <f t="shared" si="261"/>
        <v>-11611.065265212146</v>
      </c>
      <c r="AU298">
        <f t="shared" si="262"/>
        <v>-213654.37708784011</v>
      </c>
      <c r="AV298">
        <f t="shared" si="250"/>
        <v>-1.6250880056031471</v>
      </c>
      <c r="AW298">
        <f t="shared" si="251"/>
        <v>40843.73427960604</v>
      </c>
      <c r="AX298">
        <f t="shared" si="252"/>
        <v>-23127.187815610625</v>
      </c>
      <c r="AY298">
        <f t="shared" si="260"/>
        <v>-0.51522286802509931</v>
      </c>
      <c r="BA298">
        <f t="shared" si="237"/>
        <v>4.5586608918521447</v>
      </c>
      <c r="BB298">
        <f t="shared" si="253"/>
        <v>13.176745745004869</v>
      </c>
      <c r="BC298">
        <f t="shared" si="254"/>
        <v>-1.1098651375780477</v>
      </c>
      <c r="BD298">
        <f t="shared" si="238"/>
        <v>-243.59058828459143</v>
      </c>
      <c r="BF298">
        <f t="shared" si="239"/>
        <v>-25.746877455956913</v>
      </c>
      <c r="BG298">
        <f t="shared" si="240"/>
        <v>-155.65594258651487</v>
      </c>
      <c r="BH298">
        <f t="shared" si="255"/>
        <v>24.344057413485132</v>
      </c>
      <c r="BI298">
        <f t="shared" si="256"/>
        <v>24.344057413485132</v>
      </c>
      <c r="BJ298">
        <f t="shared" si="241"/>
        <v>0</v>
      </c>
      <c r="BK298">
        <f t="shared" si="257"/>
        <v>0</v>
      </c>
      <c r="BM298">
        <f t="shared" si="258"/>
        <v>-38.923623200961785</v>
      </c>
      <c r="BN298">
        <f t="shared" si="242"/>
        <v>-92.065354301923435</v>
      </c>
      <c r="BQ298" s="66">
        <f t="shared" si="259"/>
        <v>30.078706545290007</v>
      </c>
      <c r="BR298" s="71"/>
      <c r="BS298" s="71"/>
      <c r="BT298" s="71">
        <v>75857.758000000002</v>
      </c>
      <c r="BU298" s="71">
        <v>3.8307899999999999</v>
      </c>
      <c r="BV298" s="71">
        <v>-130.62200000000001</v>
      </c>
      <c r="BY298" s="71"/>
      <c r="BZ298" s="71"/>
      <c r="CA298" s="71"/>
      <c r="CC298" s="71"/>
    </row>
    <row r="299" spans="1:81" x14ac:dyDescent="0.2">
      <c r="A299">
        <f t="shared" si="211"/>
        <v>425000</v>
      </c>
      <c r="B299">
        <f t="shared" si="243"/>
        <v>425</v>
      </c>
      <c r="C299">
        <f t="shared" si="212"/>
        <v>26.455408632522325</v>
      </c>
      <c r="D299">
        <f t="shared" si="213"/>
        <v>1.5329878657632148</v>
      </c>
      <c r="F299">
        <f t="shared" si="214"/>
        <v>2.8188097520524105E-5</v>
      </c>
      <c r="G299">
        <f t="shared" si="215"/>
        <v>2.1848788361975664E-3</v>
      </c>
      <c r="H299">
        <f t="shared" si="216"/>
        <v>-3.1394077711638024</v>
      </c>
      <c r="J299">
        <f t="shared" si="217"/>
        <v>15</v>
      </c>
      <c r="M299">
        <f t="shared" si="218"/>
        <v>7.9376450775289781E-3</v>
      </c>
      <c r="N299">
        <f t="shared" si="219"/>
        <v>-1.5707963250000001</v>
      </c>
      <c r="O299">
        <f t="shared" si="220"/>
        <v>125.93785324267179</v>
      </c>
      <c r="P299">
        <f t="shared" si="221"/>
        <v>1.5628558189734625</v>
      </c>
      <c r="Q299">
        <f t="shared" si="222"/>
        <v>174.48377980775851</v>
      </c>
      <c r="R299">
        <f t="shared" si="223"/>
        <v>1.5650651036656797</v>
      </c>
      <c r="S299">
        <f t="shared" si="224"/>
        <v>6.2919230428634315E-2</v>
      </c>
      <c r="T299">
        <f t="shared" si="225"/>
        <v>-1.5078355078164933</v>
      </c>
      <c r="U299">
        <f t="shared" si="226"/>
        <v>0.99884768827171599</v>
      </c>
      <c r="V299">
        <f t="shared" si="227"/>
        <v>-4.8011104966079014E-2</v>
      </c>
      <c r="X299">
        <f t="shared" si="244"/>
        <v>-18.228856158416889</v>
      </c>
      <c r="Y299">
        <f t="shared" si="228"/>
        <v>-91.967857671784159</v>
      </c>
      <c r="Z299">
        <f t="shared" si="245"/>
        <v>88.032142328215841</v>
      </c>
      <c r="AC299">
        <v>1</v>
      </c>
      <c r="AD299">
        <f t="shared" si="229"/>
        <v>125.93388296790003</v>
      </c>
      <c r="AE299">
        <f t="shared" si="230"/>
        <v>-3.362880169502277E-4</v>
      </c>
      <c r="AF299">
        <f t="shared" si="231"/>
        <v>6.9989971853025006E-3</v>
      </c>
      <c r="AG299">
        <f t="shared" si="246"/>
        <v>17944.839713468107</v>
      </c>
      <c r="AH299">
        <f t="shared" si="247"/>
        <v>-1005.0917832206329</v>
      </c>
      <c r="AJ299">
        <f t="shared" si="232"/>
        <v>18000</v>
      </c>
      <c r="AK299">
        <f t="shared" si="233"/>
        <v>285514.22321729996</v>
      </c>
      <c r="AL299">
        <v>1</v>
      </c>
      <c r="AM299">
        <f t="shared" si="234"/>
        <v>174.48091418835</v>
      </c>
      <c r="AN299">
        <f t="shared" si="248"/>
        <v>1636.9011255095741</v>
      </c>
      <c r="AO299">
        <f t="shared" si="249"/>
        <v>-93.78159754955584</v>
      </c>
      <c r="AQ299">
        <f t="shared" si="235"/>
        <v>1.384081129299475E-2</v>
      </c>
      <c r="AR299">
        <f t="shared" si="236"/>
        <v>-11.764689599045537</v>
      </c>
      <c r="AT299">
        <f t="shared" si="261"/>
        <v>-11576.221707984761</v>
      </c>
      <c r="AU299">
        <f t="shared" si="262"/>
        <v>-211129.38041928125</v>
      </c>
      <c r="AV299">
        <f t="shared" si="250"/>
        <v>-1.6255714695369514</v>
      </c>
      <c r="AW299">
        <f t="shared" si="251"/>
        <v>40867.499473875192</v>
      </c>
      <c r="AX299">
        <f t="shared" si="252"/>
        <v>-22900.127795684875</v>
      </c>
      <c r="AY299">
        <f t="shared" si="260"/>
        <v>-0.51075518112199658</v>
      </c>
      <c r="BA299">
        <f t="shared" si="237"/>
        <v>4.5136299679957164</v>
      </c>
      <c r="BB299">
        <f t="shared" si="253"/>
        <v>13.090519045899551</v>
      </c>
      <c r="BC299">
        <f t="shared" si="254"/>
        <v>-1.1148162884149548</v>
      </c>
      <c r="BD299">
        <f t="shared" si="238"/>
        <v>-243.87426833160305</v>
      </c>
      <c r="BF299">
        <f t="shared" si="239"/>
        <v>-25.936050985026078</v>
      </c>
      <c r="BG299">
        <f t="shared" si="240"/>
        <v>-155.91534914203393</v>
      </c>
      <c r="BH299">
        <f t="shared" si="255"/>
        <v>24.084650857966068</v>
      </c>
      <c r="BI299">
        <f t="shared" si="256"/>
        <v>24.084650857966068</v>
      </c>
      <c r="BJ299">
        <f t="shared" si="241"/>
        <v>0</v>
      </c>
      <c r="BK299">
        <f t="shared" si="257"/>
        <v>0</v>
      </c>
      <c r="BM299">
        <f t="shared" si="258"/>
        <v>-39.026570030925633</v>
      </c>
      <c r="BN299">
        <f t="shared" si="242"/>
        <v>-92.041080810430898</v>
      </c>
      <c r="BQ299" s="66">
        <f t="shared" si="259"/>
        <v>29.992479846184686</v>
      </c>
      <c r="BR299" s="71"/>
      <c r="BS299" s="71"/>
      <c r="BT299" s="71">
        <v>77624.712</v>
      </c>
      <c r="BU299" s="71">
        <v>4.0309799999999996</v>
      </c>
      <c r="BV299" s="71">
        <v>-130.36099999999999</v>
      </c>
      <c r="BY299" s="71"/>
      <c r="BZ299" s="71"/>
      <c r="CA299" s="71"/>
      <c r="CC299" s="71"/>
    </row>
    <row r="300" spans="1:81" x14ac:dyDescent="0.2">
      <c r="A300">
        <f t="shared" ref="A300:A363" si="263">A299+5000</f>
        <v>430000</v>
      </c>
      <c r="B300">
        <f t="shared" si="243"/>
        <v>430</v>
      </c>
      <c r="C300">
        <f t="shared" si="212"/>
        <v>26.766206616433955</v>
      </c>
      <c r="D300">
        <f t="shared" si="213"/>
        <v>1.5334270874551854</v>
      </c>
      <c r="F300">
        <f t="shared" si="214"/>
        <v>2.753635505279101E-5</v>
      </c>
      <c r="G300">
        <f t="shared" si="215"/>
        <v>2.1594719284721989E-3</v>
      </c>
      <c r="H300">
        <f t="shared" si="216"/>
        <v>-3.1394331780715281</v>
      </c>
      <c r="J300">
        <f t="shared" si="217"/>
        <v>15</v>
      </c>
      <c r="M300">
        <f t="shared" si="218"/>
        <v>7.8453468789530592E-3</v>
      </c>
      <c r="N300">
        <f t="shared" si="219"/>
        <v>-1.5707963250000001</v>
      </c>
      <c r="O300">
        <f t="shared" si="220"/>
        <v>127.4193821718562</v>
      </c>
      <c r="P300">
        <f t="shared" si="221"/>
        <v>1.5629481466461317</v>
      </c>
      <c r="Q300">
        <f t="shared" si="222"/>
        <v>176.53646312465034</v>
      </c>
      <c r="R300">
        <f t="shared" si="223"/>
        <v>1.565131744361127</v>
      </c>
      <c r="S300">
        <f t="shared" si="224"/>
        <v>6.2190457698298646E-2</v>
      </c>
      <c r="T300">
        <f t="shared" si="225"/>
        <v>-1.5085657106450516</v>
      </c>
      <c r="U300">
        <f t="shared" si="226"/>
        <v>0.99882046380003109</v>
      </c>
      <c r="V300">
        <f t="shared" si="227"/>
        <v>-4.8575058563189062E-2</v>
      </c>
      <c r="X300">
        <f t="shared" si="244"/>
        <v>-18.330444212336634</v>
      </c>
      <c r="Y300">
        <f t="shared" si="228"/>
        <v>-92.009189315845376</v>
      </c>
      <c r="Z300">
        <f t="shared" si="245"/>
        <v>87.990810684154624</v>
      </c>
      <c r="AC300">
        <v>1</v>
      </c>
      <c r="AD300">
        <f t="shared" si="229"/>
        <v>127.41545806164001</v>
      </c>
      <c r="AE300">
        <f t="shared" si="230"/>
        <v>-3.4424722122683503E-4</v>
      </c>
      <c r="AF300">
        <f t="shared" si="231"/>
        <v>7.0813383286590006E-3</v>
      </c>
      <c r="AG300">
        <f t="shared" si="246"/>
        <v>17943.861522040865</v>
      </c>
      <c r="AH300">
        <f t="shared" si="247"/>
        <v>-1013.5265586725372</v>
      </c>
      <c r="AJ300">
        <f t="shared" si="232"/>
        <v>18000</v>
      </c>
      <c r="AK300">
        <f t="shared" si="233"/>
        <v>288873.21407867997</v>
      </c>
      <c r="AL300">
        <v>1</v>
      </c>
      <c r="AM300">
        <f t="shared" si="234"/>
        <v>176.53363082585997</v>
      </c>
      <c r="AN300">
        <f t="shared" si="248"/>
        <v>1636.8886988336949</v>
      </c>
      <c r="AO300">
        <f t="shared" si="249"/>
        <v>-92.69118424980195</v>
      </c>
      <c r="AQ300">
        <f t="shared" si="235"/>
        <v>1.3520803784743395E-2</v>
      </c>
      <c r="AR300">
        <f t="shared" si="236"/>
        <v>-11.627891254879319</v>
      </c>
      <c r="AT300">
        <f t="shared" si="261"/>
        <v>-11542.561177396206</v>
      </c>
      <c r="AU300">
        <f t="shared" si="262"/>
        <v>-208662.97416463491</v>
      </c>
      <c r="AV300">
        <f t="shared" si="250"/>
        <v>-1.6260567753332384</v>
      </c>
      <c r="AW300">
        <f t="shared" si="251"/>
        <v>40890.339731921849</v>
      </c>
      <c r="AX300">
        <f t="shared" si="252"/>
        <v>-22678.878357217953</v>
      </c>
      <c r="AY300">
        <f t="shared" si="260"/>
        <v>-0.50638851665188578</v>
      </c>
      <c r="BA300">
        <f t="shared" si="237"/>
        <v>4.4693961869805729</v>
      </c>
      <c r="BB300">
        <f t="shared" si="253"/>
        <v>13.004977082883084</v>
      </c>
      <c r="BC300">
        <f t="shared" si="254"/>
        <v>-1.1196682586813527</v>
      </c>
      <c r="BD300">
        <f t="shared" si="238"/>
        <v>-244.15226575050826</v>
      </c>
      <c r="BF300">
        <f t="shared" si="239"/>
        <v>-26.123332158287059</v>
      </c>
      <c r="BG300">
        <f t="shared" si="240"/>
        <v>-156.1696367202747</v>
      </c>
      <c r="BH300">
        <f t="shared" si="255"/>
        <v>23.830363279725304</v>
      </c>
      <c r="BI300">
        <f t="shared" si="256"/>
        <v>23.830363279725304</v>
      </c>
      <c r="BJ300">
        <f t="shared" si="241"/>
        <v>0</v>
      </c>
      <c r="BK300">
        <f t="shared" si="257"/>
        <v>0</v>
      </c>
      <c r="BM300">
        <f t="shared" si="258"/>
        <v>-39.128309241170143</v>
      </c>
      <c r="BN300">
        <f t="shared" si="242"/>
        <v>-92.017370969766461</v>
      </c>
      <c r="BQ300" s="66">
        <f t="shared" si="259"/>
        <v>29.906937883168219</v>
      </c>
      <c r="BR300" s="71"/>
      <c r="BS300" s="71"/>
      <c r="BT300" s="71">
        <v>79432.823000000004</v>
      </c>
      <c r="BU300" s="71">
        <v>4.23407</v>
      </c>
      <c r="BV300" s="71">
        <v>-130.17400000000001</v>
      </c>
      <c r="BY300" s="71"/>
      <c r="BZ300" s="71"/>
      <c r="CA300" s="71"/>
      <c r="CC300" s="71"/>
    </row>
    <row r="301" spans="1:81" x14ac:dyDescent="0.2">
      <c r="A301">
        <f t="shared" si="263"/>
        <v>435000</v>
      </c>
      <c r="B301">
        <f t="shared" si="243"/>
        <v>435</v>
      </c>
      <c r="C301">
        <f t="shared" si="212"/>
        <v>27.077009645427182</v>
      </c>
      <c r="D301">
        <f t="shared" si="213"/>
        <v>1.5338562260298123</v>
      </c>
      <c r="F301">
        <f t="shared" si="214"/>
        <v>2.690695779614125E-5</v>
      </c>
      <c r="G301">
        <f t="shared" si="215"/>
        <v>2.1346491330006688E-3</v>
      </c>
      <c r="H301">
        <f t="shared" si="216"/>
        <v>-3.1394580008669997</v>
      </c>
      <c r="J301">
        <f t="shared" si="217"/>
        <v>15</v>
      </c>
      <c r="M301">
        <f t="shared" si="218"/>
        <v>7.7551704780455515E-3</v>
      </c>
      <c r="N301">
        <f t="shared" si="219"/>
        <v>-1.5707963250000001</v>
      </c>
      <c r="O301">
        <f t="shared" si="220"/>
        <v>128.9009121622463</v>
      </c>
      <c r="P301">
        <f t="shared" si="221"/>
        <v>1.5630383519728053</v>
      </c>
      <c r="Q301">
        <f t="shared" si="222"/>
        <v>178.58914720751517</v>
      </c>
      <c r="R301">
        <f t="shared" si="223"/>
        <v>1.5651968531351599</v>
      </c>
      <c r="S301">
        <f t="shared" si="224"/>
        <v>6.147834227174042E-2</v>
      </c>
      <c r="T301">
        <f t="shared" si="225"/>
        <v>-1.5092791913875123</v>
      </c>
      <c r="U301">
        <f t="shared" si="226"/>
        <v>0.99879292317863499</v>
      </c>
      <c r="V301">
        <f t="shared" si="227"/>
        <v>-4.9138981239694429E-2</v>
      </c>
      <c r="X301">
        <f t="shared" si="244"/>
        <v>-18.430868709780313</v>
      </c>
      <c r="Y301">
        <f t="shared" si="228"/>
        <v>-92.050314710329218</v>
      </c>
      <c r="Z301">
        <f t="shared" si="245"/>
        <v>87.949685289670782</v>
      </c>
      <c r="AC301">
        <v>1</v>
      </c>
      <c r="AD301">
        <f t="shared" si="229"/>
        <v>128.89703315538003</v>
      </c>
      <c r="AE301">
        <f t="shared" si="230"/>
        <v>-3.5229951561194088E-4</v>
      </c>
      <c r="AF301">
        <f t="shared" si="231"/>
        <v>7.1636794720155005E-3</v>
      </c>
      <c r="AG301">
        <f t="shared" si="246"/>
        <v>17942.871998294901</v>
      </c>
      <c r="AH301">
        <f t="shared" si="247"/>
        <v>-1021.9978632888937</v>
      </c>
      <c r="AJ301">
        <f t="shared" si="232"/>
        <v>18000</v>
      </c>
      <c r="AK301">
        <f t="shared" si="233"/>
        <v>292232.20494005998</v>
      </c>
      <c r="AL301">
        <v>1</v>
      </c>
      <c r="AM301">
        <f t="shared" si="234"/>
        <v>178.58634746337</v>
      </c>
      <c r="AN301">
        <f t="shared" si="248"/>
        <v>1636.8766981784861</v>
      </c>
      <c r="AO301">
        <f t="shared" si="249"/>
        <v>-91.625835536939732</v>
      </c>
      <c r="AQ301">
        <f t="shared" si="235"/>
        <v>1.3211767457038635E-2</v>
      </c>
      <c r="AR301">
        <f t="shared" si="236"/>
        <v>-11.494237687623613</v>
      </c>
      <c r="AT301">
        <f t="shared" si="261"/>
        <v>-11510.029304533124</v>
      </c>
      <c r="AU301">
        <f t="shared" si="262"/>
        <v>-206253.13794511903</v>
      </c>
      <c r="AV301">
        <f t="shared" si="250"/>
        <v>-1.6265438580755243</v>
      </c>
      <c r="AW301">
        <f t="shared" si="251"/>
        <v>40912.296175647774</v>
      </c>
      <c r="AX301">
        <f t="shared" si="252"/>
        <v>-22463.238682990253</v>
      </c>
      <c r="AY301">
        <f t="shared" si="260"/>
        <v>-0.50211998358477161</v>
      </c>
      <c r="BA301">
        <f t="shared" si="237"/>
        <v>4.425941250590296</v>
      </c>
      <c r="BB301">
        <f t="shared" si="253"/>
        <v>12.920112897139797</v>
      </c>
      <c r="BC301">
        <f t="shared" si="254"/>
        <v>-1.1244238744907527</v>
      </c>
      <c r="BD301">
        <f t="shared" si="238"/>
        <v>-244.42474246568389</v>
      </c>
      <c r="BF301">
        <f t="shared" si="239"/>
        <v>-26.30875597763854</v>
      </c>
      <c r="BG301">
        <f t="shared" si="240"/>
        <v>-156.41894784768775</v>
      </c>
      <c r="BH301">
        <f t="shared" si="255"/>
        <v>23.581052152312253</v>
      </c>
      <c r="BI301">
        <f t="shared" si="256"/>
        <v>23.581052152312253</v>
      </c>
      <c r="BJ301">
        <f t="shared" si="241"/>
        <v>0</v>
      </c>
      <c r="BK301">
        <f t="shared" si="257"/>
        <v>0</v>
      </c>
      <c r="BM301">
        <f t="shared" si="258"/>
        <v>-39.228868874778335</v>
      </c>
      <c r="BN301">
        <f t="shared" si="242"/>
        <v>-91.994205382003841</v>
      </c>
      <c r="BQ301" s="66">
        <f t="shared" si="259"/>
        <v>29.822073697424933</v>
      </c>
      <c r="BR301" s="71"/>
      <c r="BS301" s="71"/>
      <c r="BT301" s="71">
        <v>81283.051999999996</v>
      </c>
      <c r="BU301" s="71">
        <v>4.4202000000000004</v>
      </c>
      <c r="BV301" s="71">
        <v>-130.05699999999999</v>
      </c>
      <c r="BY301" s="71"/>
      <c r="BZ301" s="71"/>
      <c r="CA301" s="71"/>
      <c r="CC301" s="71"/>
    </row>
    <row r="302" spans="1:81" x14ac:dyDescent="0.2">
      <c r="A302">
        <f t="shared" si="263"/>
        <v>440000</v>
      </c>
      <c r="B302">
        <f t="shared" si="243"/>
        <v>440</v>
      </c>
      <c r="C302">
        <f t="shared" si="212"/>
        <v>27.387817547743904</v>
      </c>
      <c r="D302">
        <f t="shared" si="213"/>
        <v>1.5342756246080194</v>
      </c>
      <c r="F302">
        <f t="shared" si="214"/>
        <v>2.6298895811135823E-5</v>
      </c>
      <c r="G302">
        <f t="shared" si="215"/>
        <v>2.1103905348361755E-3</v>
      </c>
      <c r="H302">
        <f t="shared" si="216"/>
        <v>-3.1394822594651641</v>
      </c>
      <c r="J302">
        <f t="shared" si="217"/>
        <v>15</v>
      </c>
      <c r="M302">
        <f t="shared" si="218"/>
        <v>7.6670435407950339E-3</v>
      </c>
      <c r="N302">
        <f t="shared" si="219"/>
        <v>-1.5707963250000001</v>
      </c>
      <c r="O302">
        <f t="shared" si="220"/>
        <v>130.38244317766677</v>
      </c>
      <c r="P302">
        <f t="shared" si="221"/>
        <v>1.563126507300413</v>
      </c>
      <c r="Q302">
        <f t="shared" si="222"/>
        <v>180.64183203024109</v>
      </c>
      <c r="R302">
        <f t="shared" si="223"/>
        <v>1.5652604822102008</v>
      </c>
      <c r="S302">
        <f t="shared" si="224"/>
        <v>6.0782320559839696E-2</v>
      </c>
      <c r="T302">
        <f t="shared" si="225"/>
        <v>-1.5099765172577795</v>
      </c>
      <c r="U302">
        <f t="shared" si="226"/>
        <v>0.99876506648622554</v>
      </c>
      <c r="V302">
        <f t="shared" si="227"/>
        <v>-4.9702872639503001E-2</v>
      </c>
      <c r="X302">
        <f t="shared" si="244"/>
        <v>-18.530156128886915</v>
      </c>
      <c r="Y302">
        <f t="shared" si="228"/>
        <v>-92.091240678159338</v>
      </c>
      <c r="Z302">
        <f t="shared" si="245"/>
        <v>87.908759321840662</v>
      </c>
      <c r="AC302">
        <v>1</v>
      </c>
      <c r="AD302">
        <f t="shared" si="229"/>
        <v>130.37860824912002</v>
      </c>
      <c r="AE302">
        <f t="shared" si="230"/>
        <v>-3.6044490010554502E-4</v>
      </c>
      <c r="AF302">
        <f t="shared" si="231"/>
        <v>7.2460206153720005E-3</v>
      </c>
      <c r="AG302">
        <f t="shared" si="246"/>
        <v>17941.871145997298</v>
      </c>
      <c r="AH302">
        <f t="shared" si="247"/>
        <v>-1030.5043760273941</v>
      </c>
      <c r="AJ302">
        <f t="shared" si="232"/>
        <v>18000</v>
      </c>
      <c r="AK302">
        <f t="shared" si="233"/>
        <v>295591.19580143999</v>
      </c>
      <c r="AL302">
        <v>1</v>
      </c>
      <c r="AM302">
        <f t="shared" si="234"/>
        <v>180.63906410088001</v>
      </c>
      <c r="AN302">
        <f t="shared" si="248"/>
        <v>1636.8651042908195</v>
      </c>
      <c r="AO302">
        <f t="shared" si="249"/>
        <v>-90.58469704299948</v>
      </c>
      <c r="AQ302">
        <f t="shared" si="235"/>
        <v>1.2913206465384214E-2</v>
      </c>
      <c r="AR302">
        <f t="shared" si="236"/>
        <v>-11.363621689538107</v>
      </c>
      <c r="AT302">
        <f t="shared" si="261"/>
        <v>-11478.574792105246</v>
      </c>
      <c r="AU302">
        <f t="shared" si="262"/>
        <v>-203897.94322132395</v>
      </c>
      <c r="AV302">
        <f t="shared" si="250"/>
        <v>-1.6270326557816563</v>
      </c>
      <c r="AW302">
        <f t="shared" si="251"/>
        <v>40933.407604588516</v>
      </c>
      <c r="AX302">
        <f t="shared" si="252"/>
        <v>-22253.017097677028</v>
      </c>
      <c r="AY302">
        <f t="shared" si="260"/>
        <v>-0.49794679499734468</v>
      </c>
      <c r="BA302">
        <f t="shared" si="237"/>
        <v>4.3832472942328051</v>
      </c>
      <c r="BB302">
        <f t="shared" si="253"/>
        <v>12.835919467795359</v>
      </c>
      <c r="BC302">
        <f t="shared" si="254"/>
        <v>-1.1290858607843117</v>
      </c>
      <c r="BD302">
        <f t="shared" si="238"/>
        <v>-244.69185460475791</v>
      </c>
      <c r="BF302">
        <f t="shared" si="239"/>
        <v>-26.492356540124376</v>
      </c>
      <c r="BG302">
        <f t="shared" si="240"/>
        <v>-156.66342013356257</v>
      </c>
      <c r="BH302">
        <f t="shared" si="255"/>
        <v>23.336579866437432</v>
      </c>
      <c r="BI302">
        <f t="shared" si="256"/>
        <v>23.336579866437432</v>
      </c>
      <c r="BJ302">
        <f t="shared" si="241"/>
        <v>0</v>
      </c>
      <c r="BK302">
        <f t="shared" si="257"/>
        <v>0</v>
      </c>
      <c r="BM302">
        <f t="shared" si="258"/>
        <v>-39.328276007919733</v>
      </c>
      <c r="BN302">
        <f t="shared" si="242"/>
        <v>-91.971565528804646</v>
      </c>
      <c r="BQ302" s="66">
        <f t="shared" si="259"/>
        <v>29.737880268080495</v>
      </c>
      <c r="BR302" s="71"/>
      <c r="BS302" s="71"/>
      <c r="BT302" s="71">
        <v>83176.376999999993</v>
      </c>
      <c r="BU302" s="71">
        <v>4.5639399999999997</v>
      </c>
      <c r="BV302" s="71">
        <v>-130.11600000000001</v>
      </c>
      <c r="BY302" s="71"/>
      <c r="BZ302" s="71"/>
      <c r="CA302" s="71"/>
      <c r="CC302" s="71"/>
    </row>
    <row r="303" spans="1:81" x14ac:dyDescent="0.2">
      <c r="A303">
        <f t="shared" si="263"/>
        <v>445000</v>
      </c>
      <c r="B303">
        <f t="shared" si="243"/>
        <v>445</v>
      </c>
      <c r="C303">
        <f t="shared" si="212"/>
        <v>27.698630159332591</v>
      </c>
      <c r="D303">
        <f t="shared" si="213"/>
        <v>1.5346856109238514</v>
      </c>
      <c r="F303">
        <f t="shared" si="214"/>
        <v>2.5711215578636741E-5</v>
      </c>
      <c r="G303">
        <f t="shared" si="215"/>
        <v>2.0866771141977844E-3</v>
      </c>
      <c r="H303">
        <f t="shared" si="216"/>
        <v>-3.1395059728858024</v>
      </c>
      <c r="J303">
        <f t="shared" si="217"/>
        <v>15</v>
      </c>
      <c r="M303">
        <f t="shared" si="218"/>
        <v>7.5808969841568881E-3</v>
      </c>
      <c r="N303">
        <f t="shared" si="219"/>
        <v>-1.5707963250000001</v>
      </c>
      <c r="O303">
        <f t="shared" si="220"/>
        <v>131.86397518356807</v>
      </c>
      <c r="P303">
        <f t="shared" si="221"/>
        <v>1.563212681724657</v>
      </c>
      <c r="Q303">
        <f t="shared" si="222"/>
        <v>182.69451756788973</v>
      </c>
      <c r="R303">
        <f t="shared" si="223"/>
        <v>1.5653226814617169</v>
      </c>
      <c r="S303">
        <f t="shared" si="224"/>
        <v>6.0101854068580485E-2</v>
      </c>
      <c r="T303">
        <f t="shared" si="225"/>
        <v>-1.5106582301341189</v>
      </c>
      <c r="U303">
        <f t="shared" si="226"/>
        <v>0.99873689380239172</v>
      </c>
      <c r="V303">
        <f t="shared" si="227"/>
        <v>-5.0266732406641777E-2</v>
      </c>
      <c r="X303">
        <f t="shared" si="244"/>
        <v>-18.628332058136522</v>
      </c>
      <c r="Y303">
        <f t="shared" si="228"/>
        <v>-92.131973741707341</v>
      </c>
      <c r="Z303">
        <f t="shared" si="245"/>
        <v>87.868026258292659</v>
      </c>
      <c r="AC303">
        <v>1</v>
      </c>
      <c r="AD303">
        <f t="shared" si="229"/>
        <v>131.86018334286001</v>
      </c>
      <c r="AE303">
        <f t="shared" si="230"/>
        <v>-3.6868337470764747E-4</v>
      </c>
      <c r="AF303">
        <f t="shared" si="231"/>
        <v>7.3283617587285004E-3</v>
      </c>
      <c r="AG303">
        <f t="shared" si="246"/>
        <v>17940.858968957658</v>
      </c>
      <c r="AH303">
        <f t="shared" si="247"/>
        <v>-1039.0448343737905</v>
      </c>
      <c r="AJ303">
        <f t="shared" si="232"/>
        <v>18000</v>
      </c>
      <c r="AK303">
        <f t="shared" si="233"/>
        <v>298950.18666281999</v>
      </c>
      <c r="AL303">
        <v>1</v>
      </c>
      <c r="AM303">
        <f t="shared" si="234"/>
        <v>182.69178073838998</v>
      </c>
      <c r="AN303">
        <f t="shared" si="248"/>
        <v>1636.8538989930264</v>
      </c>
      <c r="AO303">
        <f t="shared" si="249"/>
        <v>-89.566952792685214</v>
      </c>
      <c r="AQ303">
        <f t="shared" si="235"/>
        <v>1.2624652664243575E-2</v>
      </c>
      <c r="AR303">
        <f t="shared" si="236"/>
        <v>-11.235940871176782</v>
      </c>
      <c r="AT303">
        <f t="shared" si="261"/>
        <v>-11448.149208544313</v>
      </c>
      <c r="AU303">
        <f t="shared" si="262"/>
        <v>-201595.54813346642</v>
      </c>
      <c r="AV303">
        <f t="shared" si="250"/>
        <v>-1.6275231092389937</v>
      </c>
      <c r="AW303">
        <f t="shared" si="251"/>
        <v>40953.710651583431</v>
      </c>
      <c r="AX303">
        <f t="shared" si="252"/>
        <v>-22048.030553215922</v>
      </c>
      <c r="AY303">
        <f t="shared" si="260"/>
        <v>-0.49386626366018427</v>
      </c>
      <c r="BA303">
        <f t="shared" si="237"/>
        <v>4.3412968819256337</v>
      </c>
      <c r="BB303">
        <f t="shared" si="253"/>
        <v>12.752389726326463</v>
      </c>
      <c r="BC303">
        <f t="shared" si="254"/>
        <v>-1.1336568455788094</v>
      </c>
      <c r="BD303">
        <f t="shared" si="238"/>
        <v>-244.95375274200035</v>
      </c>
      <c r="BF303">
        <f t="shared" si="239"/>
        <v>-26.674167067527424</v>
      </c>
      <c r="BG303">
        <f t="shared" si="240"/>
        <v>-156.9031864641448</v>
      </c>
      <c r="BH303">
        <f t="shared" si="255"/>
        <v>23.096813535855205</v>
      </c>
      <c r="BI303">
        <f t="shared" si="256"/>
        <v>23.096813535855205</v>
      </c>
      <c r="BJ303">
        <f t="shared" si="241"/>
        <v>0</v>
      </c>
      <c r="BK303">
        <f t="shared" si="257"/>
        <v>0</v>
      </c>
      <c r="BM303">
        <f t="shared" si="258"/>
        <v>-39.426556793853884</v>
      </c>
      <c r="BN303">
        <f t="shared" si="242"/>
        <v>-91.949433722144448</v>
      </c>
      <c r="BQ303" s="66">
        <f t="shared" si="259"/>
        <v>29.654350526611598</v>
      </c>
      <c r="BR303" s="71"/>
      <c r="BS303" s="71"/>
      <c r="BT303" s="71">
        <v>85113.804000000004</v>
      </c>
      <c r="BU303" s="71">
        <v>4.7605300000000002</v>
      </c>
      <c r="BV303" s="71">
        <v>-129.97300000000001</v>
      </c>
      <c r="BY303" s="71"/>
      <c r="BZ303" s="71"/>
      <c r="CA303" s="71"/>
      <c r="CC303" s="71"/>
    </row>
    <row r="304" spans="1:81" x14ac:dyDescent="0.2">
      <c r="A304">
        <f t="shared" si="263"/>
        <v>450000</v>
      </c>
      <c r="B304">
        <f t="shared" si="243"/>
        <v>450</v>
      </c>
      <c r="C304">
        <f t="shared" si="212"/>
        <v>28.009447323421021</v>
      </c>
      <c r="D304">
        <f t="shared" si="213"/>
        <v>1.5350864981770562</v>
      </c>
      <c r="F304">
        <f t="shared" si="214"/>
        <v>2.5143016259302793E-5</v>
      </c>
      <c r="G304">
        <f t="shared" si="215"/>
        <v>2.0634906967316458E-3</v>
      </c>
      <c r="H304">
        <f t="shared" si="216"/>
        <v>-3.1395291593032684</v>
      </c>
      <c r="J304">
        <f t="shared" si="217"/>
        <v>15</v>
      </c>
      <c r="M304">
        <f t="shared" si="218"/>
        <v>7.4966647954440337E-3</v>
      </c>
      <c r="N304">
        <f t="shared" si="219"/>
        <v>-1.5707963250000001</v>
      </c>
      <c r="O304">
        <f t="shared" si="220"/>
        <v>133.34550814693606</v>
      </c>
      <c r="P304">
        <f t="shared" si="221"/>
        <v>1.563296941270613</v>
      </c>
      <c r="Q304">
        <f t="shared" si="222"/>
        <v>184.74720379663106</v>
      </c>
      <c r="R304">
        <f t="shared" si="223"/>
        <v>1.5653834985485986</v>
      </c>
      <c r="S304">
        <f t="shared" si="224"/>
        <v>5.9436428020169879E-2</v>
      </c>
      <c r="T304">
        <f t="shared" si="225"/>
        <v>-1.5113248479564452</v>
      </c>
      <c r="U304">
        <f t="shared" si="226"/>
        <v>0.9987084052076135</v>
      </c>
      <c r="V304">
        <f t="shared" si="227"/>
        <v>-5.0830560185258097E-2</v>
      </c>
      <c r="X304">
        <f t="shared" si="244"/>
        <v>-18.725421235680617</v>
      </c>
      <c r="Y304">
        <f t="shared" si="228"/>
        <v>-92.172520139034134</v>
      </c>
      <c r="Z304">
        <f t="shared" si="245"/>
        <v>87.827479860965866</v>
      </c>
      <c r="AC304">
        <v>1</v>
      </c>
      <c r="AD304">
        <f t="shared" si="229"/>
        <v>133.34175843660003</v>
      </c>
      <c r="AE304">
        <f t="shared" si="230"/>
        <v>-3.7701493941824828E-4</v>
      </c>
      <c r="AF304">
        <f t="shared" si="231"/>
        <v>7.4107029020850012E-3</v>
      </c>
      <c r="AG304">
        <f t="shared" si="246"/>
        <v>17939.835471028015</v>
      </c>
      <c r="AH304">
        <f t="shared" si="247"/>
        <v>-1047.6180310910433</v>
      </c>
      <c r="AJ304">
        <f t="shared" si="232"/>
        <v>18000</v>
      </c>
      <c r="AK304">
        <f t="shared" si="233"/>
        <v>302309.1775242</v>
      </c>
      <c r="AL304">
        <v>1</v>
      </c>
      <c r="AM304">
        <f t="shared" si="234"/>
        <v>184.74449737590001</v>
      </c>
      <c r="AN304">
        <f t="shared" si="248"/>
        <v>1636.8430651116039</v>
      </c>
      <c r="AO304">
        <f t="shared" si="249"/>
        <v>-88.571823070834114</v>
      </c>
      <c r="AQ304">
        <f t="shared" si="235"/>
        <v>1.2345663770785468E-2</v>
      </c>
      <c r="AR304">
        <f t="shared" si="236"/>
        <v>-11.111097393706922</v>
      </c>
      <c r="AT304">
        <f t="shared" si="261"/>
        <v>-11418.706798027546</v>
      </c>
      <c r="AU304">
        <f t="shared" si="262"/>
        <v>-199344.19268564243</v>
      </c>
      <c r="AV304">
        <f t="shared" si="250"/>
        <v>-1.628015161850574</v>
      </c>
      <c r="AW304">
        <f t="shared" si="251"/>
        <v>40973.239926406684</v>
      </c>
      <c r="AX304">
        <f t="shared" si="252"/>
        <v>-21848.104148563089</v>
      </c>
      <c r="AY304">
        <f t="shared" si="260"/>
        <v>-0.48987579783540997</v>
      </c>
      <c r="BA304">
        <f t="shared" si="237"/>
        <v>4.3000730006075205</v>
      </c>
      <c r="BB304">
        <f t="shared" si="253"/>
        <v>12.669516569693632</v>
      </c>
      <c r="BC304">
        <f t="shared" si="254"/>
        <v>-1.138139364015164</v>
      </c>
      <c r="BD304">
        <f t="shared" si="238"/>
        <v>-245.21058213028653</v>
      </c>
      <c r="BF304">
        <f t="shared" si="239"/>
        <v>-26.854219934762135</v>
      </c>
      <c r="BG304">
        <f t="shared" si="240"/>
        <v>-157.13837518859984</v>
      </c>
      <c r="BH304">
        <f t="shared" si="255"/>
        <v>22.861624811400162</v>
      </c>
      <c r="BI304">
        <f t="shared" si="256"/>
        <v>22.861624811400162</v>
      </c>
      <c r="BJ304">
        <f t="shared" si="241"/>
        <v>0</v>
      </c>
      <c r="BK304">
        <f t="shared" si="257"/>
        <v>0</v>
      </c>
      <c r="BM304">
        <f t="shared" si="258"/>
        <v>-39.523736504455769</v>
      </c>
      <c r="BN304">
        <f t="shared" si="242"/>
        <v>-91.927793058313313</v>
      </c>
      <c r="BQ304" s="66">
        <f t="shared" si="259"/>
        <v>29.571477369978769</v>
      </c>
      <c r="BR304" s="71"/>
      <c r="BS304" s="71"/>
      <c r="BT304" s="71">
        <v>87096.358999999997</v>
      </c>
      <c r="BU304" s="71">
        <v>4.9475499999999997</v>
      </c>
      <c r="BV304" s="71">
        <v>-129.96199999999999</v>
      </c>
      <c r="BY304" s="71"/>
      <c r="BZ304" s="71"/>
      <c r="CA304" s="71"/>
      <c r="CC304" s="71"/>
    </row>
    <row r="305" spans="1:81" x14ac:dyDescent="0.2">
      <c r="A305">
        <f t="shared" si="263"/>
        <v>455000</v>
      </c>
      <c r="B305">
        <f t="shared" si="243"/>
        <v>455</v>
      </c>
      <c r="C305">
        <f t="shared" si="212"/>
        <v>28.320268890117077</v>
      </c>
      <c r="D305">
        <f t="shared" si="213"/>
        <v>1.5354785858296234</v>
      </c>
      <c r="F305">
        <f t="shared" si="214"/>
        <v>2.4593446239238215E-5</v>
      </c>
      <c r="G305">
        <f t="shared" si="215"/>
        <v>2.040813907052243E-3</v>
      </c>
      <c r="H305">
        <f t="shared" si="216"/>
        <v>-3.1395518360929477</v>
      </c>
      <c r="J305">
        <f t="shared" si="217"/>
        <v>15</v>
      </c>
      <c r="M305">
        <f t="shared" si="218"/>
        <v>7.4142838636259683E-3</v>
      </c>
      <c r="N305">
        <f t="shared" si="219"/>
        <v>-1.5707963250000001</v>
      </c>
      <c r="O305">
        <f t="shared" si="220"/>
        <v>134.82704203620767</v>
      </c>
      <c r="P305">
        <f t="shared" si="221"/>
        <v>1.5633793490614283</v>
      </c>
      <c r="Q305">
        <f t="shared" si="222"/>
        <v>186.79989069368241</v>
      </c>
      <c r="R305">
        <f t="shared" si="223"/>
        <v>1.5654429790349427</v>
      </c>
      <c r="S305">
        <f t="shared" si="224"/>
        <v>5.8785550063924004E-2</v>
      </c>
      <c r="T305">
        <f t="shared" si="225"/>
        <v>-1.5119768660322503</v>
      </c>
      <c r="U305">
        <f t="shared" si="226"/>
        <v>0.9986796007832609</v>
      </c>
      <c r="V305">
        <f t="shared" si="227"/>
        <v>-5.1394355619621065E-2</v>
      </c>
      <c r="X305">
        <f t="shared" si="244"/>
        <v>-18.821447586527078</v>
      </c>
      <c r="Y305">
        <f t="shared" si="228"/>
        <v>-92.212885839094511</v>
      </c>
      <c r="Z305">
        <f t="shared" si="245"/>
        <v>87.787114160905489</v>
      </c>
      <c r="AC305">
        <v>1</v>
      </c>
      <c r="AD305">
        <f t="shared" si="229"/>
        <v>134.82333353034002</v>
      </c>
      <c r="AE305">
        <f t="shared" si="230"/>
        <v>-3.8543959423734743E-4</v>
      </c>
      <c r="AF305">
        <f t="shared" si="231"/>
        <v>7.4930440454414994E-3</v>
      </c>
      <c r="AG305">
        <f t="shared" si="246"/>
        <v>17938.800656102845</v>
      </c>
      <c r="AH305">
        <f t="shared" si="247"/>
        <v>-1056.2228111828242</v>
      </c>
      <c r="AJ305">
        <f t="shared" si="232"/>
        <v>18000</v>
      </c>
      <c r="AK305">
        <f t="shared" si="233"/>
        <v>305668.16838557995</v>
      </c>
      <c r="AL305">
        <v>1</v>
      </c>
      <c r="AM305">
        <f t="shared" si="234"/>
        <v>186.79721401340998</v>
      </c>
      <c r="AN305">
        <f t="shared" si="248"/>
        <v>1636.8325864113826</v>
      </c>
      <c r="AO305">
        <f t="shared" si="249"/>
        <v>-87.598562430454265</v>
      </c>
      <c r="AQ305">
        <f t="shared" si="235"/>
        <v>1.207582166909592E-2</v>
      </c>
      <c r="AR305">
        <f t="shared" si="236"/>
        <v>-10.988997718877286</v>
      </c>
      <c r="AT305">
        <f t="shared" si="261"/>
        <v>-11390.204305033651</v>
      </c>
      <c r="AU305">
        <f t="shared" si="262"/>
        <v>-197142.19424761922</v>
      </c>
      <c r="AV305">
        <f t="shared" si="250"/>
        <v>-1.6285087594914229</v>
      </c>
      <c r="AW305">
        <f t="shared" si="251"/>
        <v>40992.02814841253</v>
      </c>
      <c r="AX305">
        <f t="shared" si="252"/>
        <v>-21653.070681186044</v>
      </c>
      <c r="AY305">
        <f t="shared" si="260"/>
        <v>-0.48597289727385212</v>
      </c>
      <c r="BA305">
        <f t="shared" si="237"/>
        <v>4.259559053881353</v>
      </c>
      <c r="BB305">
        <f t="shared" si="253"/>
        <v>12.587292872299496</v>
      </c>
      <c r="BC305">
        <f t="shared" si="254"/>
        <v>-1.1425358622175708</v>
      </c>
      <c r="BD305">
        <f t="shared" si="238"/>
        <v>-245.46248292220912</v>
      </c>
      <c r="BF305">
        <f t="shared" si="239"/>
        <v>-27.032546697129426</v>
      </c>
      <c r="BG305">
        <f t="shared" si="240"/>
        <v>-157.3691102971485</v>
      </c>
      <c r="BH305">
        <f t="shared" si="255"/>
        <v>22.630889702851505</v>
      </c>
      <c r="BI305">
        <f t="shared" si="256"/>
        <v>22.630889702851505</v>
      </c>
      <c r="BJ305">
        <f t="shared" si="241"/>
        <v>0</v>
      </c>
      <c r="BK305">
        <f t="shared" si="257"/>
        <v>0</v>
      </c>
      <c r="BM305">
        <f t="shared" si="258"/>
        <v>-39.619839569428919</v>
      </c>
      <c r="BN305">
        <f t="shared" si="242"/>
        <v>-91.906627374939376</v>
      </c>
      <c r="BQ305" s="66">
        <f t="shared" si="259"/>
        <v>29.489253672584631</v>
      </c>
      <c r="BR305" s="71"/>
      <c r="BS305" s="71"/>
      <c r="BT305" s="71">
        <v>89125.093999999997</v>
      </c>
      <c r="BU305" s="71">
        <v>5.2143100000000002</v>
      </c>
      <c r="BV305" s="71">
        <v>-129.73099999999999</v>
      </c>
      <c r="BY305" s="71"/>
      <c r="BZ305" s="71"/>
      <c r="CA305" s="71"/>
      <c r="CC305" s="71"/>
    </row>
    <row r="306" spans="1:81" x14ac:dyDescent="0.2">
      <c r="A306">
        <f t="shared" si="263"/>
        <v>460000</v>
      </c>
      <c r="B306">
        <f t="shared" si="243"/>
        <v>460</v>
      </c>
      <c r="C306">
        <f t="shared" si="212"/>
        <v>28.631094716035527</v>
      </c>
      <c r="D306">
        <f t="shared" si="213"/>
        <v>1.5358621603505274</v>
      </c>
      <c r="F306">
        <f t="shared" si="214"/>
        <v>2.406169993704654E-5</v>
      </c>
      <c r="G306">
        <f t="shared" si="215"/>
        <v>2.0186301253140681E-3</v>
      </c>
      <c r="H306">
        <f t="shared" si="216"/>
        <v>-3.139574019874686</v>
      </c>
      <c r="J306">
        <f t="shared" si="217"/>
        <v>15</v>
      </c>
      <c r="M306">
        <f t="shared" si="218"/>
        <v>7.3336938216300336E-3</v>
      </c>
      <c r="N306">
        <f t="shared" si="219"/>
        <v>-1.5707963250000001</v>
      </c>
      <c r="O306">
        <f t="shared" si="220"/>
        <v>136.30857682119199</v>
      </c>
      <c r="P306">
        <f t="shared" si="221"/>
        <v>1.5634599654760166</v>
      </c>
      <c r="Q306">
        <f t="shared" si="222"/>
        <v>188.85257823725178</v>
      </c>
      <c r="R306">
        <f t="shared" si="223"/>
        <v>1.5655011665038923</v>
      </c>
      <c r="S306">
        <f t="shared" si="224"/>
        <v>5.8148749070187557E-2</v>
      </c>
      <c r="T306">
        <f t="shared" si="225"/>
        <v>-1.512614758258062</v>
      </c>
      <c r="U306">
        <f t="shared" si="226"/>
        <v>0.99865048061159334</v>
      </c>
      <c r="V306">
        <f t="shared" si="227"/>
        <v>-5.1958118354122819E-2</v>
      </c>
      <c r="X306">
        <f t="shared" si="244"/>
        <v>-18.916434257718741</v>
      </c>
      <c r="Y306">
        <f t="shared" si="228"/>
        <v>-92.253076555981323</v>
      </c>
      <c r="Z306">
        <f t="shared" si="245"/>
        <v>87.746923444018677</v>
      </c>
      <c r="AC306">
        <v>1</v>
      </c>
      <c r="AD306">
        <f t="shared" si="229"/>
        <v>136.30490862408001</v>
      </c>
      <c r="AE306">
        <f t="shared" si="230"/>
        <v>-3.9395733916494494E-4</v>
      </c>
      <c r="AF306">
        <f t="shared" si="231"/>
        <v>7.5753851887980003E-3</v>
      </c>
      <c r="AG306">
        <f t="shared" si="246"/>
        <v>17937.754528118978</v>
      </c>
      <c r="AH306">
        <f t="shared" si="247"/>
        <v>-1064.8580690550541</v>
      </c>
      <c r="AJ306">
        <f t="shared" si="232"/>
        <v>18000</v>
      </c>
      <c r="AK306">
        <f t="shared" si="233"/>
        <v>309027.15924696001</v>
      </c>
      <c r="AL306">
        <v>1</v>
      </c>
      <c r="AM306">
        <f t="shared" si="234"/>
        <v>188.84993065091999</v>
      </c>
      <c r="AN306">
        <f t="shared" si="248"/>
        <v>1636.8224475346653</v>
      </c>
      <c r="AO306">
        <f t="shared" si="249"/>
        <v>-86.646457830645872</v>
      </c>
      <c r="AQ306">
        <f t="shared" si="235"/>
        <v>1.1814730842709308E-2</v>
      </c>
      <c r="AR306">
        <f t="shared" si="236"/>
        <v>-10.869552375292562</v>
      </c>
      <c r="AT306">
        <f t="shared" si="261"/>
        <v>-11362.600812174498</v>
      </c>
      <c r="AU306">
        <f t="shared" si="262"/>
        <v>-194987.94335000211</v>
      </c>
      <c r="AV306">
        <f t="shared" si="250"/>
        <v>-1.6290038503742303</v>
      </c>
      <c r="AW306">
        <f t="shared" si="251"/>
        <v>41010.106269144017</v>
      </c>
      <c r="AX306">
        <f t="shared" si="252"/>
        <v>-21462.770227871988</v>
      </c>
      <c r="AY306">
        <f t="shared" si="260"/>
        <v>-0.48215514940141885</v>
      </c>
      <c r="BA306">
        <f t="shared" si="237"/>
        <v>4.2197388552818831</v>
      </c>
      <c r="BB306">
        <f t="shared" si="253"/>
        <v>12.505711496866791</v>
      </c>
      <c r="BC306">
        <f t="shared" si="254"/>
        <v>-1.1468487009728114</v>
      </c>
      <c r="BD306">
        <f t="shared" si="238"/>
        <v>-245.70959038088722</v>
      </c>
      <c r="BF306">
        <f t="shared" si="239"/>
        <v>-27.209178116492431</v>
      </c>
      <c r="BG306">
        <f t="shared" si="240"/>
        <v>-157.59551159169362</v>
      </c>
      <c r="BH306">
        <f t="shared" si="255"/>
        <v>22.404488408306378</v>
      </c>
      <c r="BI306">
        <f t="shared" si="256"/>
        <v>22.404488408306378</v>
      </c>
      <c r="BJ306">
        <f t="shared" si="241"/>
        <v>0</v>
      </c>
      <c r="BK306">
        <f t="shared" si="257"/>
        <v>0</v>
      </c>
      <c r="BM306">
        <f t="shared" si="258"/>
        <v>-39.714889613359219</v>
      </c>
      <c r="BN306">
        <f t="shared" si="242"/>
        <v>-91.885921210806401</v>
      </c>
      <c r="BQ306" s="66">
        <f t="shared" si="259"/>
        <v>29.407672297151926</v>
      </c>
      <c r="BR306" s="71"/>
      <c r="BS306" s="71"/>
      <c r="BT306" s="71">
        <v>91201.084000000003</v>
      </c>
      <c r="BU306" s="71">
        <v>5.4050900000000004</v>
      </c>
      <c r="BV306" s="71">
        <v>-129.68299999999999</v>
      </c>
      <c r="BY306" s="71"/>
      <c r="BZ306" s="71"/>
      <c r="CA306" s="71"/>
      <c r="CC306" s="71"/>
    </row>
    <row r="307" spans="1:81" x14ac:dyDescent="0.2">
      <c r="A307">
        <f t="shared" si="263"/>
        <v>465000</v>
      </c>
      <c r="B307">
        <f t="shared" si="243"/>
        <v>465</v>
      </c>
      <c r="C307">
        <f t="shared" si="212"/>
        <v>28.941924663948832</v>
      </c>
      <c r="D307">
        <f t="shared" si="213"/>
        <v>1.5362374959125609</v>
      </c>
      <c r="F307">
        <f t="shared" si="214"/>
        <v>2.3547014849923808E-5</v>
      </c>
      <c r="G307">
        <f t="shared" si="215"/>
        <v>1.9969234465855709E-3</v>
      </c>
      <c r="H307">
        <f t="shared" si="216"/>
        <v>-3.1395957265534147</v>
      </c>
      <c r="J307">
        <f t="shared" si="217"/>
        <v>15</v>
      </c>
      <c r="M307">
        <f t="shared" si="218"/>
        <v>7.2548368988168081E-3</v>
      </c>
      <c r="N307">
        <f t="shared" si="219"/>
        <v>-1.5707963250000001</v>
      </c>
      <c r="O307">
        <f t="shared" si="220"/>
        <v>137.7901124729967</v>
      </c>
      <c r="P307">
        <f t="shared" si="221"/>
        <v>1.5635388482965831</v>
      </c>
      <c r="Q307">
        <f t="shared" si="222"/>
        <v>190.90526640648423</v>
      </c>
      <c r="R307">
        <f t="shared" si="223"/>
        <v>1.5655581026641348</v>
      </c>
      <c r="S307">
        <f t="shared" si="224"/>
        <v>5.7525574001124992E-2</v>
      </c>
      <c r="T307">
        <f t="shared" si="225"/>
        <v>-1.5132389782627269</v>
      </c>
      <c r="U307">
        <f t="shared" si="226"/>
        <v>0.99862104477575941</v>
      </c>
      <c r="V307">
        <f t="shared" si="227"/>
        <v>-5.2521848033279923E-2</v>
      </c>
      <c r="X307">
        <f t="shared" si="244"/>
        <v>-19.010403651633528</v>
      </c>
      <c r="Y307">
        <f t="shared" si="228"/>
        <v>-92.293097762278535</v>
      </c>
      <c r="Z307">
        <f t="shared" si="245"/>
        <v>87.706902237721465</v>
      </c>
      <c r="AC307">
        <v>1</v>
      </c>
      <c r="AD307">
        <f t="shared" si="229"/>
        <v>137.78648371782</v>
      </c>
      <c r="AE307">
        <f t="shared" si="230"/>
        <v>-4.025681742010407E-4</v>
      </c>
      <c r="AF307">
        <f t="shared" si="231"/>
        <v>7.6577263321545002E-3</v>
      </c>
      <c r="AG307">
        <f t="shared" si="246"/>
        <v>17936.697091055616</v>
      </c>
      <c r="AH307">
        <f t="shared" si="247"/>
        <v>-1073.5227458605814</v>
      </c>
      <c r="AJ307">
        <f t="shared" si="232"/>
        <v>18000</v>
      </c>
      <c r="AK307">
        <f t="shared" si="233"/>
        <v>312386.15010834002</v>
      </c>
      <c r="AL307">
        <v>1</v>
      </c>
      <c r="AM307">
        <f t="shared" si="234"/>
        <v>190.90264728843002</v>
      </c>
      <c r="AN307">
        <f t="shared" si="248"/>
        <v>1636.8126339449275</v>
      </c>
      <c r="AO307">
        <f t="shared" si="249"/>
        <v>-85.714826894633575</v>
      </c>
      <c r="AQ307">
        <f t="shared" si="235"/>
        <v>1.1562016924480374E-2</v>
      </c>
      <c r="AR307">
        <f t="shared" si="236"/>
        <v>-10.752675739766747</v>
      </c>
      <c r="AT307">
        <f t="shared" si="261"/>
        <v>-11335.857590166794</v>
      </c>
      <c r="AU307">
        <f t="shared" si="262"/>
        <v>-192879.89975069495</v>
      </c>
      <c r="AV307">
        <f t="shared" si="250"/>
        <v>-1.6295003849236951</v>
      </c>
      <c r="AW307">
        <f t="shared" si="251"/>
        <v>41027.503585764287</v>
      </c>
      <c r="AX307">
        <f t="shared" si="252"/>
        <v>-21277.049752639774</v>
      </c>
      <c r="AY307">
        <f t="shared" si="260"/>
        <v>-0.47842022568490389</v>
      </c>
      <c r="BA307">
        <f t="shared" si="237"/>
        <v>4.1805966211510732</v>
      </c>
      <c r="BB307">
        <f t="shared" si="253"/>
        <v>12.424765304322818</v>
      </c>
      <c r="BC307">
        <f t="shared" si="254"/>
        <v>-1.1510801592387911</v>
      </c>
      <c r="BD307">
        <f t="shared" si="238"/>
        <v>-245.95203508099064</v>
      </c>
      <c r="BF307">
        <f t="shared" si="239"/>
        <v>-27.384144186427836</v>
      </c>
      <c r="BG307">
        <f t="shared" si="240"/>
        <v>-157.81769484924661</v>
      </c>
      <c r="BH307">
        <f t="shared" si="255"/>
        <v>22.182305150753393</v>
      </c>
      <c r="BI307">
        <f t="shared" si="256"/>
        <v>22.182305150753393</v>
      </c>
      <c r="BJ307">
        <f t="shared" si="241"/>
        <v>0</v>
      </c>
      <c r="BK307">
        <f t="shared" si="257"/>
        <v>0</v>
      </c>
      <c r="BM307">
        <f t="shared" si="258"/>
        <v>-39.808909490750658</v>
      </c>
      <c r="BN307">
        <f t="shared" si="242"/>
        <v>-91.865659768255981</v>
      </c>
      <c r="BQ307" s="66">
        <f t="shared" si="259"/>
        <v>29.326726104607953</v>
      </c>
      <c r="BR307" s="71"/>
      <c r="BS307" s="71"/>
      <c r="BT307" s="71">
        <v>93325.43</v>
      </c>
      <c r="BU307" s="71">
        <v>5.6014999999999997</v>
      </c>
      <c r="BV307" s="71">
        <v>-129.64400000000001</v>
      </c>
      <c r="BY307" s="71"/>
      <c r="BZ307" s="71"/>
      <c r="CA307" s="71"/>
      <c r="CC307" s="71"/>
    </row>
    <row r="308" spans="1:81" x14ac:dyDescent="0.2">
      <c r="A308">
        <f t="shared" si="263"/>
        <v>470000</v>
      </c>
      <c r="B308">
        <f t="shared" si="243"/>
        <v>470</v>
      </c>
      <c r="C308">
        <f t="shared" si="212"/>
        <v>29.252758602460212</v>
      </c>
      <c r="D308">
        <f t="shared" si="213"/>
        <v>1.5366048550448159</v>
      </c>
      <c r="F308">
        <f t="shared" si="214"/>
        <v>2.3048668818555514E-5</v>
      </c>
      <c r="G308">
        <f t="shared" si="215"/>
        <v>1.9756786428166808E-3</v>
      </c>
      <c r="H308">
        <f t="shared" si="216"/>
        <v>-3.1396169713571833</v>
      </c>
      <c r="J308">
        <f t="shared" si="217"/>
        <v>15</v>
      </c>
      <c r="M308">
        <f t="shared" si="218"/>
        <v>7.1776577828719466E-3</v>
      </c>
      <c r="N308">
        <f t="shared" si="219"/>
        <v>-1.5707963250000001</v>
      </c>
      <c r="O308">
        <f t="shared" si="220"/>
        <v>139.27164896395871</v>
      </c>
      <c r="P308">
        <f t="shared" si="221"/>
        <v>1.5636160528467307</v>
      </c>
      <c r="Q308">
        <f t="shared" si="222"/>
        <v>192.95795518141239</v>
      </c>
      <c r="R308">
        <f t="shared" si="223"/>
        <v>1.565613827449601</v>
      </c>
      <c r="S308">
        <f t="shared" si="224"/>
        <v>5.6915592852736611E-2</v>
      </c>
      <c r="T308">
        <f t="shared" si="225"/>
        <v>-1.5138499604782918</v>
      </c>
      <c r="U308">
        <f t="shared" si="226"/>
        <v>0.99859129335979524</v>
      </c>
      <c r="V308">
        <f t="shared" si="227"/>
        <v>-5.3085544301734636E-2</v>
      </c>
      <c r="X308">
        <f t="shared" si="244"/>
        <v>-19.103377457525216</v>
      </c>
      <c r="Y308">
        <f t="shared" si="228"/>
        <v>-92.332954701587781</v>
      </c>
      <c r="Z308">
        <f t="shared" si="245"/>
        <v>87.667045298412219</v>
      </c>
      <c r="AC308">
        <v>1</v>
      </c>
      <c r="AD308">
        <f t="shared" si="229"/>
        <v>139.26805881156002</v>
      </c>
      <c r="AE308">
        <f t="shared" si="230"/>
        <v>-4.1127209934563471E-4</v>
      </c>
      <c r="AF308">
        <f t="shared" si="231"/>
        <v>7.7400674755110001E-3</v>
      </c>
      <c r="AG308">
        <f t="shared" si="246"/>
        <v>17935.628348934264</v>
      </c>
      <c r="AH308">
        <f t="shared" si="247"/>
        <v>-1082.2158270133509</v>
      </c>
      <c r="AJ308">
        <f t="shared" si="232"/>
        <v>18000</v>
      </c>
      <c r="AK308">
        <f t="shared" si="233"/>
        <v>315745.14096971997</v>
      </c>
      <c r="AL308">
        <v>1</v>
      </c>
      <c r="AM308">
        <f t="shared" si="234"/>
        <v>192.95536392593999</v>
      </c>
      <c r="AN308">
        <f t="shared" si="248"/>
        <v>1636.8031318746889</v>
      </c>
      <c r="AO308">
        <f t="shared" si="249"/>
        <v>-84.803016278966055</v>
      </c>
      <c r="AQ308">
        <f t="shared" si="235"/>
        <v>1.131732535386447E-2</v>
      </c>
      <c r="AR308">
        <f t="shared" si="236"/>
        <v>-10.638285832632603</v>
      </c>
      <c r="AT308">
        <f t="shared" si="261"/>
        <v>-11309.937958916022</v>
      </c>
      <c r="AU308">
        <f t="shared" si="262"/>
        <v>-190816.58875244847</v>
      </c>
      <c r="AV308">
        <f t="shared" si="250"/>
        <v>-1.6299983156588866</v>
      </c>
      <c r="AW308">
        <f t="shared" si="251"/>
        <v>41044.247846086822</v>
      </c>
      <c r="AX308">
        <f t="shared" si="252"/>
        <v>-21095.762739732185</v>
      </c>
      <c r="AY308">
        <f t="shared" si="260"/>
        <v>-0.47476587816802052</v>
      </c>
      <c r="BA308">
        <f t="shared" si="237"/>
        <v>4.142116963194554</v>
      </c>
      <c r="BB308">
        <f t="shared" si="253"/>
        <v>12.344447162770066</v>
      </c>
      <c r="BC308">
        <f t="shared" si="254"/>
        <v>-1.155232437490866</v>
      </c>
      <c r="BD308">
        <f t="shared" si="238"/>
        <v>-246.18994310047034</v>
      </c>
      <c r="BF308">
        <f t="shared" si="239"/>
        <v>-27.557474156403622</v>
      </c>
      <c r="BG308">
        <f t="shared" si="240"/>
        <v>-158.03577197845237</v>
      </c>
      <c r="BH308">
        <f t="shared" si="255"/>
        <v>21.964228021547626</v>
      </c>
      <c r="BI308">
        <f t="shared" si="256"/>
        <v>21.964228021547626</v>
      </c>
      <c r="BJ308">
        <f t="shared" si="241"/>
        <v>0</v>
      </c>
      <c r="BK308">
        <f t="shared" si="257"/>
        <v>0</v>
      </c>
      <c r="BM308">
        <f t="shared" si="258"/>
        <v>-39.901921319173688</v>
      </c>
      <c r="BN308">
        <f t="shared" si="242"/>
        <v>-91.845828877982044</v>
      </c>
      <c r="BQ308" s="66">
        <f t="shared" si="259"/>
        <v>29.246407963055205</v>
      </c>
      <c r="BR308" s="71"/>
      <c r="BS308" s="71"/>
      <c r="BT308" s="71">
        <v>95499.259000000005</v>
      </c>
      <c r="BU308" s="71">
        <v>5.7946099999999996</v>
      </c>
      <c r="BV308" s="71">
        <v>-129.63</v>
      </c>
      <c r="BY308" s="71"/>
      <c r="BZ308" s="71"/>
      <c r="CA308" s="71"/>
      <c r="CC308" s="71"/>
    </row>
    <row r="309" spans="1:81" x14ac:dyDescent="0.2">
      <c r="A309">
        <f t="shared" si="263"/>
        <v>475000</v>
      </c>
      <c r="B309">
        <f t="shared" si="243"/>
        <v>475</v>
      </c>
      <c r="C309">
        <f t="shared" si="212"/>
        <v>29.5635964056973</v>
      </c>
      <c r="D309">
        <f t="shared" si="213"/>
        <v>1.5369644892440686</v>
      </c>
      <c r="F309">
        <f t="shared" si="214"/>
        <v>2.2565977492488541E-5</v>
      </c>
      <c r="G309">
        <f t="shared" si="215"/>
        <v>1.9548811272087465E-3</v>
      </c>
      <c r="H309">
        <f t="shared" si="216"/>
        <v>-3.1396377688727917</v>
      </c>
      <c r="J309">
        <f t="shared" si="217"/>
        <v>15</v>
      </c>
      <c r="M309">
        <f t="shared" si="218"/>
        <v>7.1021034904206635E-3</v>
      </c>
      <c r="N309">
        <f t="shared" si="219"/>
        <v>-1.5707963250000001</v>
      </c>
      <c r="O309">
        <f t="shared" si="220"/>
        <v>140.75318626757968</v>
      </c>
      <c r="P309">
        <f t="shared" si="221"/>
        <v>1.5636916321208483</v>
      </c>
      <c r="Q309">
        <f t="shared" si="222"/>
        <v>195.01064454290955</v>
      </c>
      <c r="R309">
        <f t="shared" si="223"/>
        <v>1.5656683791128683</v>
      </c>
      <c r="S309">
        <f t="shared" si="224"/>
        <v>5.6318391662921664E-2</v>
      </c>
      <c r="T309">
        <f t="shared" si="225"/>
        <v>-1.5144481211437668</v>
      </c>
      <c r="U309">
        <f t="shared" si="226"/>
        <v>0.99856122644862522</v>
      </c>
      <c r="V309">
        <f t="shared" si="227"/>
        <v>-5.3649206804256271E-2</v>
      </c>
      <c r="X309">
        <f t="shared" si="244"/>
        <v>-19.195376681414871</v>
      </c>
      <c r="Y309">
        <f t="shared" si="228"/>
        <v>-92.372652400286611</v>
      </c>
      <c r="Z309">
        <f t="shared" si="245"/>
        <v>87.627347599713389</v>
      </c>
      <c r="AC309">
        <v>1</v>
      </c>
      <c r="AD309">
        <f t="shared" si="229"/>
        <v>140.74963390530002</v>
      </c>
      <c r="AE309">
        <f t="shared" si="230"/>
        <v>-4.2006911459872717E-4</v>
      </c>
      <c r="AF309">
        <f t="shared" si="231"/>
        <v>7.8224086188675001E-3</v>
      </c>
      <c r="AG309">
        <f t="shared" si="246"/>
        <v>17934.548305818687</v>
      </c>
      <c r="AH309">
        <f t="shared" si="247"/>
        <v>-1090.9363398595819</v>
      </c>
      <c r="AJ309">
        <f t="shared" si="232"/>
        <v>18000</v>
      </c>
      <c r="AK309">
        <f t="shared" si="233"/>
        <v>319104.13183109998</v>
      </c>
      <c r="AL309">
        <v>1</v>
      </c>
      <c r="AM309">
        <f t="shared" si="234"/>
        <v>195.00808056344999</v>
      </c>
      <c r="AN309">
        <f t="shared" si="248"/>
        <v>1636.7939282771983</v>
      </c>
      <c r="AO309">
        <f t="shared" si="249"/>
        <v>-83.910400145693913</v>
      </c>
      <c r="AQ309">
        <f t="shared" si="235"/>
        <v>1.1080320132609272E-2</v>
      </c>
      <c r="AR309">
        <f t="shared" si="236"/>
        <v>-10.526304125978807</v>
      </c>
      <c r="AT309">
        <f t="shared" si="261"/>
        <v>-11284.807158781919</v>
      </c>
      <c r="AU309">
        <f t="shared" si="262"/>
        <v>-188796.59775299544</v>
      </c>
      <c r="AV309">
        <f t="shared" si="250"/>
        <v>-1.6304975970830371</v>
      </c>
      <c r="AW309">
        <f t="shared" si="251"/>
        <v>41060.365345908474</v>
      </c>
      <c r="AX309">
        <f t="shared" si="252"/>
        <v>-20918.768849835942</v>
      </c>
      <c r="AY309">
        <f t="shared" si="260"/>
        <v>-0.471189936168943</v>
      </c>
      <c r="BA309">
        <f t="shared" si="237"/>
        <v>4.1042848807842356</v>
      </c>
      <c r="BB309">
        <f t="shared" si="253"/>
        <v>12.26474995561653</v>
      </c>
      <c r="BC309">
        <f t="shared" si="254"/>
        <v>-1.1593076609140942</v>
      </c>
      <c r="BD309">
        <f t="shared" si="238"/>
        <v>-246.42343620346099</v>
      </c>
      <c r="BF309">
        <f t="shared" si="239"/>
        <v>-27.729196555030487</v>
      </c>
      <c r="BG309">
        <f t="shared" si="240"/>
        <v>-158.24985116950381</v>
      </c>
      <c r="BH309">
        <f t="shared" si="255"/>
        <v>21.750148830496187</v>
      </c>
      <c r="BI309">
        <f t="shared" si="256"/>
        <v>21.750148830496187</v>
      </c>
      <c r="BJ309">
        <f t="shared" si="241"/>
        <v>0</v>
      </c>
      <c r="BK309">
        <f t="shared" si="257"/>
        <v>0</v>
      </c>
      <c r="BM309">
        <f t="shared" si="258"/>
        <v>-39.993946510647021</v>
      </c>
      <c r="BN309">
        <f t="shared" si="242"/>
        <v>-91.826414966042833</v>
      </c>
      <c r="BQ309" s="66">
        <f t="shared" si="259"/>
        <v>29.166710755901665</v>
      </c>
      <c r="BR309" s="71"/>
      <c r="BS309" s="71"/>
      <c r="BT309" s="71">
        <v>97723.721999999994</v>
      </c>
      <c r="BU309" s="71">
        <v>5.9855799999999997</v>
      </c>
      <c r="BV309" s="71">
        <v>-129.62100000000001</v>
      </c>
      <c r="BY309" s="71"/>
      <c r="BZ309" s="71"/>
      <c r="CA309" s="71"/>
      <c r="CC309" s="71"/>
    </row>
    <row r="310" spans="1:81" x14ac:dyDescent="0.2">
      <c r="A310">
        <f t="shared" si="263"/>
        <v>480000</v>
      </c>
      <c r="B310">
        <f t="shared" si="243"/>
        <v>480</v>
      </c>
      <c r="C310">
        <f t="shared" si="212"/>
        <v>29.874437953024902</v>
      </c>
      <c r="D310">
        <f t="shared" si="213"/>
        <v>1.5373166395480551</v>
      </c>
      <c r="F310">
        <f t="shared" si="214"/>
        <v>2.2098291979358749E-5</v>
      </c>
      <c r="G310">
        <f t="shared" si="215"/>
        <v>1.9345169208116943E-3</v>
      </c>
      <c r="H310">
        <f t="shared" si="216"/>
        <v>-3.1396581330791884</v>
      </c>
      <c r="J310">
        <f t="shared" si="217"/>
        <v>15</v>
      </c>
      <c r="M310">
        <f t="shared" si="218"/>
        <v>7.0281232457287818E-3</v>
      </c>
      <c r="N310">
        <f t="shared" si="219"/>
        <v>-1.5707963250000001</v>
      </c>
      <c r="O310">
        <f t="shared" si="220"/>
        <v>142.23472435846529</v>
      </c>
      <c r="P310">
        <f t="shared" si="221"/>
        <v>1.5637656369054105</v>
      </c>
      <c r="Q310">
        <f t="shared" si="222"/>
        <v>197.06333447264583</v>
      </c>
      <c r="R310">
        <f t="shared" si="223"/>
        <v>1.5657217943127264</v>
      </c>
      <c r="S310">
        <f t="shared" si="224"/>
        <v>5.5733573580835312E-2</v>
      </c>
      <c r="T310">
        <f t="shared" si="225"/>
        <v>-1.5150338592466266</v>
      </c>
      <c r="U310">
        <f t="shared" si="226"/>
        <v>0.99853084412805992</v>
      </c>
      <c r="V310">
        <f t="shared" si="227"/>
        <v>-5.421283518574254E-2</v>
      </c>
      <c r="X310">
        <f t="shared" si="244"/>
        <v>-19.286421674435321</v>
      </c>
      <c r="Y310">
        <f t="shared" si="228"/>
        <v>-92.412195678572687</v>
      </c>
      <c r="Z310">
        <f t="shared" si="245"/>
        <v>87.587804321427313</v>
      </c>
      <c r="AC310">
        <v>1</v>
      </c>
      <c r="AD310">
        <f t="shared" si="229"/>
        <v>142.23120899904001</v>
      </c>
      <c r="AE310">
        <f t="shared" si="230"/>
        <v>-4.28959219960318E-4</v>
      </c>
      <c r="AF310">
        <f t="shared" si="231"/>
        <v>7.904749762224E-3</v>
      </c>
      <c r="AG310">
        <f t="shared" si="246"/>
        <v>17933.456965814887</v>
      </c>
      <c r="AH310">
        <f t="shared" si="247"/>
        <v>-1099.6833514945056</v>
      </c>
      <c r="AJ310">
        <f t="shared" si="232"/>
        <v>18000</v>
      </c>
      <c r="AK310">
        <f t="shared" si="233"/>
        <v>322463.12269247998</v>
      </c>
      <c r="AL310">
        <v>1</v>
      </c>
      <c r="AM310">
        <f t="shared" si="234"/>
        <v>197.06079720096</v>
      </c>
      <c r="AN310">
        <f t="shared" si="248"/>
        <v>1636.7850107816303</v>
      </c>
      <c r="AO310">
        <f t="shared" si="249"/>
        <v>-83.036378730018939</v>
      </c>
      <c r="AQ310">
        <f t="shared" si="235"/>
        <v>1.0850682670700227E-2</v>
      </c>
      <c r="AR310">
        <f t="shared" si="236"/>
        <v>-10.416655363872218</v>
      </c>
      <c r="AT310">
        <f t="shared" si="261"/>
        <v>-11260.432231181503</v>
      </c>
      <c r="AU310">
        <f t="shared" si="262"/>
        <v>-186818.57301081254</v>
      </c>
      <c r="AV310">
        <f t="shared" si="250"/>
        <v>-1.6309981855802185</v>
      </c>
      <c r="AW310">
        <f t="shared" si="251"/>
        <v>41075.881019283239</v>
      </c>
      <c r="AX310">
        <f t="shared" si="252"/>
        <v>-20745.933597832027</v>
      </c>
      <c r="AY310">
        <f t="shared" si="260"/>
        <v>-0.46769030313112109</v>
      </c>
      <c r="BA310">
        <f t="shared" si="237"/>
        <v>4.0670857530645383</v>
      </c>
      <c r="BB310">
        <f t="shared" si="253"/>
        <v>12.185666588933229</v>
      </c>
      <c r="BC310">
        <f t="shared" si="254"/>
        <v>-1.1633078824490974</v>
      </c>
      <c r="BD310">
        <f t="shared" si="238"/>
        <v>-246.65263201479593</v>
      </c>
      <c r="BF310">
        <f t="shared" si="239"/>
        <v>-27.89933921243145</v>
      </c>
      <c r="BG310">
        <f t="shared" si="240"/>
        <v>-158.46003703772399</v>
      </c>
      <c r="BH310">
        <f t="shared" si="255"/>
        <v>21.539962962276007</v>
      </c>
      <c r="BI310">
        <f t="shared" si="256"/>
        <v>21.539962962276007</v>
      </c>
      <c r="BJ310">
        <f t="shared" si="241"/>
        <v>0</v>
      </c>
      <c r="BK310">
        <f t="shared" si="257"/>
        <v>0</v>
      </c>
      <c r="BM310">
        <f t="shared" si="258"/>
        <v>-40.085005801364673</v>
      </c>
      <c r="BN310">
        <f t="shared" si="242"/>
        <v>-91.807405022928094</v>
      </c>
      <c r="BQ310" s="66">
        <f t="shared" si="259"/>
        <v>29.087627389218365</v>
      </c>
      <c r="BR310" s="71"/>
      <c r="BS310" s="71"/>
      <c r="BT310" s="71">
        <v>100000</v>
      </c>
      <c r="BU310" s="71">
        <v>6.1811499999999997</v>
      </c>
      <c r="BV310" s="71">
        <v>-129.59</v>
      </c>
      <c r="BY310" s="71"/>
      <c r="BZ310" s="71"/>
      <c r="CA310" s="71"/>
      <c r="CC310" s="71"/>
    </row>
    <row r="311" spans="1:81" x14ac:dyDescent="0.2">
      <c r="A311">
        <f t="shared" si="263"/>
        <v>485000</v>
      </c>
      <c r="B311">
        <f t="shared" si="243"/>
        <v>485</v>
      </c>
      <c r="C311">
        <f t="shared" si="212"/>
        <v>30.185283128775499</v>
      </c>
      <c r="D311">
        <f t="shared" si="213"/>
        <v>1.5376615370733828</v>
      </c>
      <c r="F311">
        <f t="shared" si="214"/>
        <v>2.1644996662888912E-5</v>
      </c>
      <c r="G311">
        <f t="shared" si="215"/>
        <v>1.9145726211876543E-3</v>
      </c>
      <c r="H311">
        <f t="shared" si="216"/>
        <v>-3.1396780773788127</v>
      </c>
      <c r="J311">
        <f t="shared" si="217"/>
        <v>15</v>
      </c>
      <c r="M311">
        <f t="shared" si="218"/>
        <v>6.9556683669068356E-3</v>
      </c>
      <c r="N311">
        <f t="shared" si="219"/>
        <v>-1.5707963250000001</v>
      </c>
      <c r="O311">
        <f t="shared" si="220"/>
        <v>143.71626321226839</v>
      </c>
      <c r="P311">
        <f t="shared" si="221"/>
        <v>1.5638381158927777</v>
      </c>
      <c r="Q311">
        <f t="shared" si="222"/>
        <v>199.11602495304737</v>
      </c>
      <c r="R311">
        <f t="shared" si="223"/>
        <v>1.5657741081963277</v>
      </c>
      <c r="S311">
        <f t="shared" si="224"/>
        <v>5.5160757993173125E-2</v>
      </c>
      <c r="T311">
        <f t="shared" si="225"/>
        <v>-1.5156075574065</v>
      </c>
      <c r="U311">
        <f t="shared" si="226"/>
        <v>0.99850014648479679</v>
      </c>
      <c r="V311">
        <f t="shared" si="227"/>
        <v>-5.4776429091220838E-2</v>
      </c>
      <c r="X311">
        <f t="shared" si="244"/>
        <v>-19.376532159723389</v>
      </c>
      <c r="Y311">
        <f t="shared" si="228"/>
        <v>-92.451589160844307</v>
      </c>
      <c r="Z311">
        <f t="shared" si="245"/>
        <v>87.548410839155693</v>
      </c>
      <c r="AC311">
        <v>1</v>
      </c>
      <c r="AD311">
        <f t="shared" si="229"/>
        <v>143.71278409278003</v>
      </c>
      <c r="AE311">
        <f t="shared" si="230"/>
        <v>-4.3794241543040712E-4</v>
      </c>
      <c r="AF311">
        <f t="shared" si="231"/>
        <v>7.9870909055805E-3</v>
      </c>
      <c r="AG311">
        <f t="shared" si="246"/>
        <v>17932.354333071067</v>
      </c>
      <c r="AH311">
        <f t="shared" si="247"/>
        <v>-1108.4559667141552</v>
      </c>
      <c r="AJ311">
        <f t="shared" si="232"/>
        <v>18000</v>
      </c>
      <c r="AK311">
        <f t="shared" si="233"/>
        <v>325822.11355385999</v>
      </c>
      <c r="AL311">
        <v>1</v>
      </c>
      <c r="AM311">
        <f t="shared" si="234"/>
        <v>199.11351383847</v>
      </c>
      <c r="AN311">
        <f t="shared" si="248"/>
        <v>1636.7763676514944</v>
      </c>
      <c r="AO311">
        <f t="shared" si="249"/>
        <v>-82.180376996526221</v>
      </c>
      <c r="AQ311">
        <f t="shared" si="235"/>
        <v>1.0628110715154942E-2</v>
      </c>
      <c r="AR311">
        <f t="shared" si="236"/>
        <v>-10.309267393700294</v>
      </c>
      <c r="AT311">
        <f t="shared" si="261"/>
        <v>-11236.781907763512</v>
      </c>
      <c r="AU311">
        <f t="shared" si="262"/>
        <v>-184881.21661094684</v>
      </c>
      <c r="AV311">
        <f t="shared" si="250"/>
        <v>-1.631500039318412</v>
      </c>
      <c r="AW311">
        <f t="shared" si="251"/>
        <v>41090.818522315843</v>
      </c>
      <c r="AX311">
        <f t="shared" si="252"/>
        <v>-20577.128050518797</v>
      </c>
      <c r="AY311">
        <f t="shared" si="260"/>
        <v>-0.46426495361957437</v>
      </c>
      <c r="BA311">
        <f t="shared" si="237"/>
        <v>4.0305053309129431</v>
      </c>
      <c r="BB311">
        <f t="shared" si="253"/>
        <v>12.107189998101241</v>
      </c>
      <c r="BC311">
        <f t="shared" si="254"/>
        <v>-1.1672350856988376</v>
      </c>
      <c r="BD311">
        <f t="shared" si="238"/>
        <v>-246.8776441865532</v>
      </c>
      <c r="BF311">
        <f t="shared" si="239"/>
        <v>-28.067929281770954</v>
      </c>
      <c r="BG311">
        <f t="shared" si="240"/>
        <v>-158.66643076108804</v>
      </c>
      <c r="BH311">
        <f t="shared" si="255"/>
        <v>21.333569238911963</v>
      </c>
      <c r="BI311">
        <f t="shared" si="256"/>
        <v>21.333569238911963</v>
      </c>
      <c r="BJ311">
        <f t="shared" si="241"/>
        <v>0</v>
      </c>
      <c r="BK311">
        <f t="shared" si="257"/>
        <v>0</v>
      </c>
      <c r="BM311">
        <f t="shared" si="258"/>
        <v>-40.175119279872192</v>
      </c>
      <c r="BN311">
        <f t="shared" si="242"/>
        <v>-91.788786574534839</v>
      </c>
      <c r="BQ311" s="66">
        <f t="shared" si="259"/>
        <v>29.009150798386372</v>
      </c>
      <c r="BR311" s="71"/>
      <c r="BS311" s="71"/>
      <c r="BT311" s="71">
        <v>102329.299</v>
      </c>
      <c r="BU311" s="71">
        <v>6.3762999999999996</v>
      </c>
      <c r="BV311" s="71">
        <v>-129.61099999999999</v>
      </c>
      <c r="BY311" s="71"/>
      <c r="BZ311" s="71"/>
      <c r="CA311" s="71"/>
      <c r="CC311" s="71"/>
    </row>
    <row r="312" spans="1:81" x14ac:dyDescent="0.2">
      <c r="A312">
        <f t="shared" si="263"/>
        <v>490000</v>
      </c>
      <c r="B312">
        <f t="shared" si="243"/>
        <v>490</v>
      </c>
      <c r="C312">
        <f t="shared" si="212"/>
        <v>30.496131821996233</v>
      </c>
      <c r="D312">
        <f t="shared" si="213"/>
        <v>1.5379994035205915</v>
      </c>
      <c r="F312">
        <f t="shared" si="214"/>
        <v>2.1205507175950073E-5</v>
      </c>
      <c r="G312">
        <f t="shared" si="215"/>
        <v>1.8950353729934105E-3</v>
      </c>
      <c r="H312">
        <f t="shared" si="216"/>
        <v>-3.1396976146270066</v>
      </c>
      <c r="J312">
        <f t="shared" si="217"/>
        <v>15</v>
      </c>
      <c r="M312">
        <f t="shared" si="218"/>
        <v>6.8846921590812564E-3</v>
      </c>
      <c r="N312">
        <f t="shared" si="219"/>
        <v>-1.5707963250000001</v>
      </c>
      <c r="O312">
        <f t="shared" si="220"/>
        <v>145.19780280563543</v>
      </c>
      <c r="P312">
        <f t="shared" si="221"/>
        <v>1.5639091157880265</v>
      </c>
      <c r="Q312">
        <f t="shared" si="222"/>
        <v>201.16871596725747</v>
      </c>
      <c r="R312">
        <f t="shared" si="223"/>
        <v>1.5658253544763068</v>
      </c>
      <c r="S312">
        <f t="shared" si="224"/>
        <v>5.4599579703367464E-2</v>
      </c>
      <c r="T312">
        <f t="shared" si="225"/>
        <v>-1.516169582705148</v>
      </c>
      <c r="U312">
        <f t="shared" si="226"/>
        <v>0.99846913360641798</v>
      </c>
      <c r="V312">
        <f t="shared" si="227"/>
        <v>-5.5339988165849605E-2</v>
      </c>
      <c r="X312">
        <f t="shared" si="244"/>
        <v>-19.465727257948309</v>
      </c>
      <c r="Y312">
        <f t="shared" si="228"/>
        <v>-92.490837285462291</v>
      </c>
      <c r="Z312">
        <f t="shared" si="245"/>
        <v>87.509162714537709</v>
      </c>
      <c r="AC312">
        <v>1</v>
      </c>
      <c r="AD312">
        <f t="shared" si="229"/>
        <v>145.19435918652002</v>
      </c>
      <c r="AE312">
        <f t="shared" si="230"/>
        <v>-4.4701870100899459E-4</v>
      </c>
      <c r="AF312">
        <f t="shared" si="231"/>
        <v>8.0694320489369999E-3</v>
      </c>
      <c r="AG312">
        <f t="shared" si="246"/>
        <v>17931.240411777559</v>
      </c>
      <c r="AH312">
        <f t="shared" si="247"/>
        <v>-1117.2533260925636</v>
      </c>
      <c r="AJ312">
        <f t="shared" si="232"/>
        <v>18000</v>
      </c>
      <c r="AK312">
        <f t="shared" si="233"/>
        <v>329181.10441524</v>
      </c>
      <c r="AL312">
        <v>1</v>
      </c>
      <c r="AM312">
        <f t="shared" si="234"/>
        <v>201.16623047598</v>
      </c>
      <c r="AN312">
        <f t="shared" si="248"/>
        <v>1636.7679877459991</v>
      </c>
      <c r="AO312">
        <f t="shared" si="249"/>
        <v>-81.341843377672845</v>
      </c>
      <c r="AQ312">
        <f t="shared" si="235"/>
        <v>1.0412317354938198E-2</v>
      </c>
      <c r="AR312">
        <f t="shared" si="236"/>
        <v>-10.204071007839433</v>
      </c>
      <c r="AT312">
        <f t="shared" si="261"/>
        <v>-11213.826507458183</v>
      </c>
      <c r="AU312">
        <f t="shared" si="262"/>
        <v>-182983.28361661534</v>
      </c>
      <c r="AV312">
        <f t="shared" si="250"/>
        <v>-1.6320031181585115</v>
      </c>
      <c r="AW312">
        <f t="shared" si="251"/>
        <v>41105.200311001368</v>
      </c>
      <c r="AX312">
        <f t="shared" si="252"/>
        <v>-20412.228542878154</v>
      </c>
      <c r="AY312">
        <f t="shared" si="260"/>
        <v>-0.46091193045529966</v>
      </c>
      <c r="BA312">
        <f t="shared" si="237"/>
        <v>3.9945297287994963</v>
      </c>
      <c r="BB312">
        <f t="shared" si="253"/>
        <v>12.02931315380548</v>
      </c>
      <c r="BC312">
        <f t="shared" si="254"/>
        <v>-1.1710911877032117</v>
      </c>
      <c r="BD312">
        <f t="shared" si="238"/>
        <v>-247.09858255702824</v>
      </c>
      <c r="BF312">
        <f t="shared" si="239"/>
        <v>-28.234993259982453</v>
      </c>
      <c r="BG312">
        <f t="shared" si="240"/>
        <v>-158.86913021194289</v>
      </c>
      <c r="BH312">
        <f t="shared" si="255"/>
        <v>21.130869788057112</v>
      </c>
      <c r="BI312">
        <f t="shared" si="256"/>
        <v>21.130869788057112</v>
      </c>
      <c r="BJ312">
        <f t="shared" si="241"/>
        <v>0</v>
      </c>
      <c r="BK312">
        <f t="shared" si="257"/>
        <v>0</v>
      </c>
      <c r="BM312">
        <f t="shared" si="258"/>
        <v>-40.264306413787935</v>
      </c>
      <c r="BN312">
        <f t="shared" si="242"/>
        <v>-91.770547654914694</v>
      </c>
      <c r="BQ312" s="66">
        <f t="shared" si="259"/>
        <v>28.931273954090617</v>
      </c>
      <c r="BR312" s="71"/>
      <c r="BS312" s="71"/>
      <c r="BT312" s="71">
        <v>104712.855</v>
      </c>
      <c r="BU312" s="71">
        <v>6.5692300000000001</v>
      </c>
      <c r="BV312" s="71">
        <v>-129.61699999999999</v>
      </c>
      <c r="BY312" s="71"/>
      <c r="BZ312" s="71"/>
      <c r="CA312" s="71"/>
      <c r="CC312" s="71"/>
    </row>
    <row r="313" spans="1:81" x14ac:dyDescent="0.2">
      <c r="A313">
        <f t="shared" si="263"/>
        <v>495000</v>
      </c>
      <c r="B313">
        <f t="shared" si="243"/>
        <v>495</v>
      </c>
      <c r="C313">
        <f t="shared" si="212"/>
        <v>30.806983926211139</v>
      </c>
      <c r="D313">
        <f t="shared" si="213"/>
        <v>1.5383304516486844</v>
      </c>
      <c r="F313">
        <f t="shared" si="214"/>
        <v>2.0779268516219129E-5</v>
      </c>
      <c r="G313">
        <f t="shared" si="215"/>
        <v>1.8758928403459954E-3</v>
      </c>
      <c r="H313">
        <f t="shared" si="216"/>
        <v>-3.139716757159654</v>
      </c>
      <c r="J313">
        <f t="shared" si="217"/>
        <v>15</v>
      </c>
      <c r="M313">
        <f t="shared" si="218"/>
        <v>6.8151498140400311E-3</v>
      </c>
      <c r="N313">
        <f t="shared" si="219"/>
        <v>-1.5707963250000001</v>
      </c>
      <c r="O313">
        <f t="shared" si="220"/>
        <v>146.67934311615645</v>
      </c>
      <c r="P313">
        <f t="shared" si="221"/>
        <v>1.5639786814093097</v>
      </c>
      <c r="Q313">
        <f t="shared" si="222"/>
        <v>203.22140749910045</v>
      </c>
      <c r="R313">
        <f t="shared" si="223"/>
        <v>1.5658755655032279</v>
      </c>
      <c r="S313">
        <f t="shared" si="224"/>
        <v>5.4049688160000574E-2</v>
      </c>
      <c r="T313">
        <f t="shared" si="225"/>
        <v>-1.5167202874664918</v>
      </c>
      <c r="U313">
        <f t="shared" si="226"/>
        <v>0.99843780558139084</v>
      </c>
      <c r="V313">
        <f t="shared" si="227"/>
        <v>-5.5903512054919634E-2</v>
      </c>
      <c r="X313">
        <f t="shared" si="244"/>
        <v>-19.554025511558255</v>
      </c>
      <c r="Y313">
        <f t="shared" si="228"/>
        <v>-92.529944313936383</v>
      </c>
      <c r="Z313">
        <f t="shared" si="245"/>
        <v>87.470055686063617</v>
      </c>
      <c r="AC313">
        <v>1</v>
      </c>
      <c r="AD313">
        <f t="shared" si="229"/>
        <v>146.67593428026001</v>
      </c>
      <c r="AE313">
        <f t="shared" si="230"/>
        <v>-4.5618807669608043E-4</v>
      </c>
      <c r="AF313">
        <f t="shared" si="231"/>
        <v>8.1517731922934999E-3</v>
      </c>
      <c r="AG313">
        <f t="shared" si="246"/>
        <v>17930.11520616684</v>
      </c>
      <c r="AH313">
        <f t="shared" si="247"/>
        <v>-1126.0746041755051</v>
      </c>
      <c r="AJ313">
        <f t="shared" si="232"/>
        <v>18000</v>
      </c>
      <c r="AK313">
        <f t="shared" si="233"/>
        <v>332540.09527662001</v>
      </c>
      <c r="AL313">
        <v>1</v>
      </c>
      <c r="AM313">
        <f t="shared" si="234"/>
        <v>203.21894711349</v>
      </c>
      <c r="AN313">
        <f t="shared" si="248"/>
        <v>1636.7598604841353</v>
      </c>
      <c r="AO313">
        <f t="shared" si="249"/>
        <v>-80.520248588718545</v>
      </c>
      <c r="AQ313">
        <f t="shared" si="235"/>
        <v>1.0203030095877873E-2</v>
      </c>
      <c r="AR313">
        <f t="shared" si="236"/>
        <v>-10.100999794919096</v>
      </c>
      <c r="AT313">
        <f t="shared" si="261"/>
        <v>-11191.537840769301</v>
      </c>
      <c r="AU313">
        <f t="shared" si="262"/>
        <v>-181123.57939344362</v>
      </c>
      <c r="AV313">
        <f t="shared" si="250"/>
        <v>-1.6325073835688384</v>
      </c>
      <c r="AW313">
        <f t="shared" si="251"/>
        <v>41119.047713589694</v>
      </c>
      <c r="AX313">
        <f t="shared" si="252"/>
        <v>-20251.11641157078</v>
      </c>
      <c r="AY313">
        <f t="shared" si="260"/>
        <v>-0.45762934198082134</v>
      </c>
      <c r="BA313">
        <f t="shared" si="237"/>
        <v>3.9591454165844722</v>
      </c>
      <c r="BB313">
        <f t="shared" si="253"/>
        <v>11.952029067428056</v>
      </c>
      <c r="BC313">
        <f t="shared" si="254"/>
        <v>-1.1748780415880171</v>
      </c>
      <c r="BD313">
        <f t="shared" si="238"/>
        <v>-247.31555330250825</v>
      </c>
      <c r="BF313">
        <f t="shared" si="239"/>
        <v>-28.400557007730999</v>
      </c>
      <c r="BG313">
        <f t="shared" si="240"/>
        <v>-159.06823008317693</v>
      </c>
      <c r="BH313">
        <f t="shared" si="255"/>
        <v>20.931769916823072</v>
      </c>
      <c r="BI313">
        <f t="shared" si="256"/>
        <v>20.931769916823072</v>
      </c>
      <c r="BJ313">
        <f t="shared" si="241"/>
        <v>0</v>
      </c>
      <c r="BK313">
        <f t="shared" si="257"/>
        <v>0</v>
      </c>
      <c r="BM313">
        <f t="shared" si="258"/>
        <v>-40.35258607515906</v>
      </c>
      <c r="BN313">
        <f t="shared" si="242"/>
        <v>-91.752676780668722</v>
      </c>
      <c r="BQ313" s="66">
        <f t="shared" si="259"/>
        <v>28.853989867713192</v>
      </c>
      <c r="BR313" s="71"/>
      <c r="BS313" s="71"/>
      <c r="BT313" s="71">
        <v>107151.931</v>
      </c>
      <c r="BU313" s="71">
        <v>6.77081</v>
      </c>
      <c r="BV313" s="71">
        <v>-129.57599999999999</v>
      </c>
      <c r="BY313" s="71"/>
      <c r="BZ313" s="71"/>
      <c r="CA313" s="71"/>
      <c r="CC313" s="71"/>
    </row>
    <row r="314" spans="1:81" x14ac:dyDescent="0.2">
      <c r="A314">
        <f t="shared" si="263"/>
        <v>500000</v>
      </c>
      <c r="B314">
        <f t="shared" si="243"/>
        <v>500</v>
      </c>
      <c r="C314">
        <f t="shared" si="212"/>
        <v>31.117839339197701</v>
      </c>
      <c r="D314">
        <f t="shared" si="213"/>
        <v>1.5386548857212563</v>
      </c>
      <c r="F314">
        <f t="shared" si="214"/>
        <v>2.0365753293081943E-5</v>
      </c>
      <c r="G314">
        <f t="shared" si="215"/>
        <v>1.8571331808465786E-3</v>
      </c>
      <c r="H314">
        <f t="shared" si="216"/>
        <v>-3.1397355168191536</v>
      </c>
      <c r="J314">
        <f t="shared" si="217"/>
        <v>15</v>
      </c>
      <c r="M314">
        <f t="shared" si="218"/>
        <v>6.7469983158996299E-3</v>
      </c>
      <c r="N314">
        <f t="shared" si="219"/>
        <v>-1.5707963250000001</v>
      </c>
      <c r="O314">
        <f t="shared" si="220"/>
        <v>148.16088412231787</v>
      </c>
      <c r="P314">
        <f t="shared" si="221"/>
        <v>1.5640468557821927</v>
      </c>
      <c r="Q314">
        <f t="shared" si="222"/>
        <v>205.27409953304777</v>
      </c>
      <c r="R314">
        <f t="shared" si="223"/>
        <v>1.5659247723336849</v>
      </c>
      <c r="S314">
        <f t="shared" si="224"/>
        <v>5.3510746731030678E-2</v>
      </c>
      <c r="T314">
        <f t="shared" si="225"/>
        <v>-1.5172600099901654</v>
      </c>
      <c r="U314">
        <f t="shared" si="226"/>
        <v>0.99840616249906677</v>
      </c>
      <c r="V314">
        <f t="shared" si="227"/>
        <v>-5.6467000403855404E-2</v>
      </c>
      <c r="X314">
        <f t="shared" si="244"/>
        <v>-19.64144490782121</v>
      </c>
      <c r="Y314">
        <f t="shared" si="228"/>
        <v>-92.568914339574633</v>
      </c>
      <c r="Z314">
        <f t="shared" si="245"/>
        <v>87.431085660425367</v>
      </c>
      <c r="AC314">
        <v>1</v>
      </c>
      <c r="AD314">
        <f t="shared" si="229"/>
        <v>148.15750937400003</v>
      </c>
      <c r="AE314">
        <f t="shared" si="230"/>
        <v>-4.6545054249166461E-4</v>
      </c>
      <c r="AF314">
        <f t="shared" si="231"/>
        <v>8.2341143356500016E-3</v>
      </c>
      <c r="AG314">
        <f t="shared" si="246"/>
        <v>17928.978720513438</v>
      </c>
      <c r="AH314">
        <f t="shared" si="247"/>
        <v>-1134.9190077826131</v>
      </c>
      <c r="AJ314">
        <f t="shared" si="232"/>
        <v>18000</v>
      </c>
      <c r="AK314">
        <f t="shared" si="233"/>
        <v>335899.08613799996</v>
      </c>
      <c r="AL314">
        <v>1</v>
      </c>
      <c r="AM314">
        <f t="shared" si="234"/>
        <v>205.27166375099998</v>
      </c>
      <c r="AN314">
        <f t="shared" si="248"/>
        <v>1636.7519758112596</v>
      </c>
      <c r="AO314">
        <f t="shared" si="249"/>
        <v>-79.715084513748565</v>
      </c>
      <c r="AQ314">
        <f t="shared" si="235"/>
        <v>9.9999900000099992E-3</v>
      </c>
      <c r="AR314">
        <f t="shared" si="236"/>
        <v>-9.9999900000099995</v>
      </c>
      <c r="AT314">
        <f t="shared" si="261"/>
        <v>-11169.889120731876</v>
      </c>
      <c r="AU314">
        <f t="shared" si="262"/>
        <v>-179300.95709425511</v>
      </c>
      <c r="AV314">
        <f t="shared" si="250"/>
        <v>-1.6330127985447891</v>
      </c>
      <c r="AW314">
        <f t="shared" si="251"/>
        <v>41132.380997910113</v>
      </c>
      <c r="AX314">
        <f t="shared" si="252"/>
        <v>-20093.677744451721</v>
      </c>
      <c r="AY314">
        <f t="shared" si="260"/>
        <v>-0.45441535945029299</v>
      </c>
      <c r="BA314">
        <f t="shared" si="237"/>
        <v>3.9243392112885425</v>
      </c>
      <c r="BB314">
        <f t="shared" si="253"/>
        <v>11.87533079588974</v>
      </c>
      <c r="BC314">
        <f t="shared" si="254"/>
        <v>-1.1785974390944962</v>
      </c>
      <c r="BD314">
        <f t="shared" si="238"/>
        <v>-247.52865908220446</v>
      </c>
      <c r="BF314">
        <f t="shared" si="239"/>
        <v>-28.564645768645136</v>
      </c>
      <c r="BG314">
        <f t="shared" si="240"/>
        <v>-159.26382200907901</v>
      </c>
      <c r="BH314">
        <f t="shared" si="255"/>
        <v>20.736177990920993</v>
      </c>
      <c r="BI314">
        <f t="shared" si="256"/>
        <v>20.736177990920993</v>
      </c>
      <c r="BJ314">
        <f t="shared" si="241"/>
        <v>0</v>
      </c>
      <c r="BK314">
        <f t="shared" si="257"/>
        <v>0</v>
      </c>
      <c r="BM314">
        <f t="shared" si="258"/>
        <v>-40.439976564534874</v>
      </c>
      <c r="BN314">
        <f t="shared" si="242"/>
        <v>-91.735162926874523</v>
      </c>
      <c r="BQ314" s="66">
        <f t="shared" si="259"/>
        <v>28.777291596174877</v>
      </c>
      <c r="BR314" s="71"/>
      <c r="BS314" s="71"/>
      <c r="BT314" s="71">
        <v>109647.82</v>
      </c>
      <c r="BU314" s="71">
        <v>6.9849899999999998</v>
      </c>
      <c r="BV314" s="71">
        <v>-129.52799999999999</v>
      </c>
      <c r="BY314" s="71"/>
      <c r="BZ314" s="71"/>
      <c r="CA314" s="71"/>
      <c r="CC314" s="71"/>
    </row>
    <row r="315" spans="1:81" x14ac:dyDescent="0.2">
      <c r="A315">
        <f t="shared" si="263"/>
        <v>505000</v>
      </c>
      <c r="B315">
        <f t="shared" si="243"/>
        <v>505</v>
      </c>
      <c r="C315">
        <f t="shared" si="212"/>
        <v>31.428697962776571</v>
      </c>
      <c r="D315">
        <f t="shared" si="213"/>
        <v>1.5389729019261849</v>
      </c>
      <c r="F315">
        <f t="shared" si="214"/>
        <v>1.9964460095437624E-5</v>
      </c>
      <c r="G315">
        <f t="shared" si="215"/>
        <v>1.8387450211476998E-3</v>
      </c>
      <c r="H315">
        <f t="shared" si="216"/>
        <v>-3.1397539049788525</v>
      </c>
      <c r="J315">
        <f t="shared" si="217"/>
        <v>15</v>
      </c>
      <c r="M315">
        <f t="shared" si="218"/>
        <v>6.6801963523758718E-3</v>
      </c>
      <c r="N315">
        <f t="shared" si="219"/>
        <v>-1.5707963250000001</v>
      </c>
      <c r="O315">
        <f t="shared" si="220"/>
        <v>149.642425803458</v>
      </c>
      <c r="P315">
        <f t="shared" si="221"/>
        <v>1.564113680228387</v>
      </c>
      <c r="Q315">
        <f t="shared" si="222"/>
        <v>207.32679205418577</v>
      </c>
      <c r="R315">
        <f t="shared" si="223"/>
        <v>1.5659730047943565</v>
      </c>
      <c r="S315">
        <f t="shared" si="224"/>
        <v>5.2982432020693089E-2</v>
      </c>
      <c r="T315">
        <f t="shared" si="225"/>
        <v>-1.5177890752417842</v>
      </c>
      <c r="U315">
        <f t="shared" si="226"/>
        <v>0.99837420444968061</v>
      </c>
      <c r="V315">
        <f t="shared" si="227"/>
        <v>-5.7030452858216368E-2</v>
      </c>
      <c r="X315">
        <f t="shared" si="244"/>
        <v>-19.728002900731564</v>
      </c>
      <c r="Y315">
        <f t="shared" si="228"/>
        <v>-92.607751295632312</v>
      </c>
      <c r="Z315">
        <f t="shared" si="245"/>
        <v>87.392248704367688</v>
      </c>
      <c r="AC315">
        <v>1</v>
      </c>
      <c r="AD315">
        <f t="shared" si="229"/>
        <v>149.63908446774002</v>
      </c>
      <c r="AE315">
        <f t="shared" si="230"/>
        <v>-4.7480609839574704E-4</v>
      </c>
      <c r="AF315">
        <f t="shared" si="231"/>
        <v>8.3164554790065015E-3</v>
      </c>
      <c r="AG315">
        <f t="shared" si="246"/>
        <v>17927.83095913392</v>
      </c>
      <c r="AH315">
        <f t="shared" si="247"/>
        <v>-1143.7857744103753</v>
      </c>
      <c r="AJ315">
        <f t="shared" si="232"/>
        <v>18000</v>
      </c>
      <c r="AK315">
        <f t="shared" si="233"/>
        <v>339258.07699937996</v>
      </c>
      <c r="AL315">
        <v>1</v>
      </c>
      <c r="AM315">
        <f t="shared" si="234"/>
        <v>207.32438038851001</v>
      </c>
      <c r="AN315">
        <f t="shared" si="248"/>
        <v>1636.7443241679837</v>
      </c>
      <c r="AO315">
        <f t="shared" si="249"/>
        <v>-78.925863157861741</v>
      </c>
      <c r="AQ315">
        <f t="shared" si="235"/>
        <v>9.8029508842751838E-3</v>
      </c>
      <c r="AR315">
        <f t="shared" si="236"/>
        <v>-9.900980393117937</v>
      </c>
      <c r="AT315">
        <f t="shared" si="261"/>
        <v>-11148.854880010364</v>
      </c>
      <c r="AU315">
        <f t="shared" si="262"/>
        <v>-177514.31529328634</v>
      </c>
      <c r="AV315">
        <f t="shared" si="250"/>
        <v>-1.6335193275332514</v>
      </c>
      <c r="AW315">
        <f t="shared" si="251"/>
        <v>41145.219434053804</v>
      </c>
      <c r="AX315">
        <f t="shared" si="252"/>
        <v>-19939.80314499377</v>
      </c>
      <c r="AY315">
        <f t="shared" si="260"/>
        <v>-0.45126821453790839</v>
      </c>
      <c r="BA315">
        <f t="shared" si="237"/>
        <v>3.8900982688654437</v>
      </c>
      <c r="BB315">
        <f t="shared" si="253"/>
        <v>11.799211445984358</v>
      </c>
      <c r="BC315">
        <f t="shared" si="254"/>
        <v>-1.182251112995343</v>
      </c>
      <c r="BD315">
        <f t="shared" si="238"/>
        <v>-247.7379991766793</v>
      </c>
      <c r="BF315">
        <f t="shared" si="239"/>
        <v>-28.7272841878506</v>
      </c>
      <c r="BG315">
        <f t="shared" si="240"/>
        <v>-159.4559946811188</v>
      </c>
      <c r="BH315">
        <f t="shared" si="255"/>
        <v>20.544005318881204</v>
      </c>
      <c r="BI315">
        <f t="shared" si="256"/>
        <v>20.544005318881204</v>
      </c>
      <c r="BJ315">
        <f t="shared" si="241"/>
        <v>0</v>
      </c>
      <c r="BK315">
        <f t="shared" si="257"/>
        <v>0</v>
      </c>
      <c r="BM315">
        <f t="shared" si="258"/>
        <v>-40.526495633834962</v>
      </c>
      <c r="BN315">
        <f t="shared" si="242"/>
        <v>-91.7179955044395</v>
      </c>
      <c r="BQ315" s="66">
        <f t="shared" si="259"/>
        <v>28.701172246269493</v>
      </c>
      <c r="BR315" s="71"/>
      <c r="BS315" s="71"/>
      <c r="BT315" s="71">
        <v>112201.845</v>
      </c>
      <c r="BU315" s="71">
        <v>7.2120699999999998</v>
      </c>
      <c r="BV315" s="71">
        <v>-129.44300000000001</v>
      </c>
      <c r="BY315" s="71"/>
      <c r="BZ315" s="71"/>
      <c r="CA315" s="71"/>
      <c r="CC315" s="71"/>
    </row>
    <row r="316" spans="1:81" x14ac:dyDescent="0.2">
      <c r="A316">
        <f t="shared" si="263"/>
        <v>510000</v>
      </c>
      <c r="B316">
        <f t="shared" si="243"/>
        <v>510</v>
      </c>
      <c r="C316">
        <f t="shared" si="212"/>
        <v>31.739559702613722</v>
      </c>
      <c r="D316">
        <f t="shared" si="213"/>
        <v>1.5392846887706928</v>
      </c>
      <c r="F316">
        <f t="shared" si="214"/>
        <v>1.9574911970968106E-5</v>
      </c>
      <c r="G316">
        <f t="shared" si="215"/>
        <v>1.8207174339579203E-3</v>
      </c>
      <c r="H316">
        <f t="shared" si="216"/>
        <v>-3.1397719325660423</v>
      </c>
      <c r="J316">
        <f t="shared" si="217"/>
        <v>15</v>
      </c>
      <c r="M316">
        <f t="shared" si="218"/>
        <v>6.6147042312741473E-3</v>
      </c>
      <c r="N316">
        <f t="shared" si="219"/>
        <v>-1.5707963250000001</v>
      </c>
      <c r="O316">
        <f t="shared" si="220"/>
        <v>151.12396813972541</v>
      </c>
      <c r="P316">
        <f t="shared" si="221"/>
        <v>1.5641791944492665</v>
      </c>
      <c r="Q316">
        <f t="shared" si="222"/>
        <v>209.37948504818564</v>
      </c>
      <c r="R316">
        <f t="shared" si="223"/>
        <v>1.5660202915422925</v>
      </c>
      <c r="S316">
        <f t="shared" si="224"/>
        <v>5.2464433226181682E-2</v>
      </c>
      <c r="T316">
        <f t="shared" si="225"/>
        <v>-1.5183077955028792</v>
      </c>
      <c r="U316">
        <f t="shared" si="226"/>
        <v>0.99834193152434958</v>
      </c>
      <c r="V316">
        <f t="shared" si="227"/>
        <v>-5.759386906369833E-2</v>
      </c>
      <c r="X316">
        <f t="shared" si="244"/>
        <v>-19.813716431848434</v>
      </c>
      <c r="Y316">
        <f t="shared" si="228"/>
        <v>-92.646458962993236</v>
      </c>
      <c r="Z316">
        <f t="shared" si="245"/>
        <v>87.353541037006764</v>
      </c>
      <c r="AC316">
        <v>1</v>
      </c>
      <c r="AD316">
        <f t="shared" si="229"/>
        <v>151.12065956148001</v>
      </c>
      <c r="AE316">
        <f t="shared" si="230"/>
        <v>-4.8425474440832772E-4</v>
      </c>
      <c r="AF316">
        <f t="shared" si="231"/>
        <v>8.3987966223630015E-3</v>
      </c>
      <c r="AG316">
        <f t="shared" si="246"/>
        <v>17926.671926386851</v>
      </c>
      <c r="AH316">
        <f t="shared" si="247"/>
        <v>-1152.6741707290726</v>
      </c>
      <c r="AJ316">
        <f t="shared" si="232"/>
        <v>18000</v>
      </c>
      <c r="AK316">
        <f t="shared" si="233"/>
        <v>342617.06786076003</v>
      </c>
      <c r="AL316">
        <v>1</v>
      </c>
      <c r="AM316">
        <f t="shared" si="234"/>
        <v>209.37709702602001</v>
      </c>
      <c r="AN316">
        <f t="shared" si="248"/>
        <v>1636.7368964611878</v>
      </c>
      <c r="AO316">
        <f t="shared" si="249"/>
        <v>-78.152115660985075</v>
      </c>
      <c r="AQ316">
        <f t="shared" si="235"/>
        <v>9.6116785739344731E-3</v>
      </c>
      <c r="AR316">
        <f t="shared" si="236"/>
        <v>-9.8039121454131628</v>
      </c>
      <c r="AT316">
        <f t="shared" si="261"/>
        <v>-11128.410893657996</v>
      </c>
      <c r="AU316">
        <f t="shared" si="262"/>
        <v>-175762.59575957077</v>
      </c>
      <c r="AV316">
        <f t="shared" si="250"/>
        <v>-1.6340269363614695</v>
      </c>
      <c r="AW316">
        <f t="shared" si="251"/>
        <v>41157.581352776149</v>
      </c>
      <c r="AX316">
        <f t="shared" si="252"/>
        <v>-19789.387510593289</v>
      </c>
      <c r="AY316">
        <f t="shared" si="260"/>
        <v>-0.44818619695871764</v>
      </c>
      <c r="BA316">
        <f t="shared" si="237"/>
        <v>3.8564100760032671</v>
      </c>
      <c r="BB316">
        <f t="shared" si="253"/>
        <v>11.723664178247283</v>
      </c>
      <c r="BC316">
        <f t="shared" si="254"/>
        <v>-1.1858407394027517</v>
      </c>
      <c r="BD316">
        <f t="shared" si="238"/>
        <v>-247.94366962008752</v>
      </c>
      <c r="BF316">
        <f t="shared" si="239"/>
        <v>-28.888496329836279</v>
      </c>
      <c r="BG316">
        <f t="shared" si="240"/>
        <v>-159.64483395887055</v>
      </c>
      <c r="BH316">
        <f t="shared" si="255"/>
        <v>20.355166041129451</v>
      </c>
      <c r="BI316">
        <f t="shared" si="256"/>
        <v>20.355166041129451</v>
      </c>
      <c r="BJ316">
        <f t="shared" si="241"/>
        <v>0</v>
      </c>
      <c r="BK316">
        <f t="shared" si="257"/>
        <v>0</v>
      </c>
      <c r="BM316">
        <f t="shared" si="258"/>
        <v>-40.612160508083562</v>
      </c>
      <c r="BN316">
        <f t="shared" si="242"/>
        <v>-91.701164338783045</v>
      </c>
      <c r="BQ316" s="66">
        <f t="shared" si="259"/>
        <v>28.625624978532421</v>
      </c>
      <c r="BR316" s="71"/>
      <c r="BS316" s="71"/>
      <c r="BT316" s="71">
        <v>114815.36199999999</v>
      </c>
      <c r="BU316" s="71">
        <v>7.47248</v>
      </c>
      <c r="BV316" s="71">
        <v>-129.58500000000001</v>
      </c>
      <c r="BY316" s="71"/>
      <c r="BZ316" s="71"/>
      <c r="CA316" s="71"/>
      <c r="CC316" s="71"/>
    </row>
    <row r="317" spans="1:81" x14ac:dyDescent="0.2">
      <c r="A317">
        <f t="shared" si="263"/>
        <v>515000</v>
      </c>
      <c r="B317">
        <f t="shared" si="243"/>
        <v>515</v>
      </c>
      <c r="C317">
        <f t="shared" si="212"/>
        <v>32.050424468034009</v>
      </c>
      <c r="D317">
        <f t="shared" si="213"/>
        <v>1.5395904274534515</v>
      </c>
      <c r="F317">
        <f t="shared" si="214"/>
        <v>1.919665500825734E-5</v>
      </c>
      <c r="G317">
        <f t="shared" si="215"/>
        <v>1.8030399163861835E-3</v>
      </c>
      <c r="H317">
        <f t="shared" si="216"/>
        <v>-3.1397896100836142</v>
      </c>
      <c r="J317">
        <f t="shared" si="217"/>
        <v>15</v>
      </c>
      <c r="M317">
        <f t="shared" si="218"/>
        <v>6.5504838018443012E-3</v>
      </c>
      <c r="N317">
        <f t="shared" si="219"/>
        <v>-1.5707963250000001</v>
      </c>
      <c r="O317">
        <f t="shared" si="220"/>
        <v>152.60551111203958</v>
      </c>
      <c r="P317">
        <f t="shared" si="221"/>
        <v>1.5642434366045157</v>
      </c>
      <c r="Q317">
        <f t="shared" si="222"/>
        <v>211.43217850127502</v>
      </c>
      <c r="R317">
        <f t="shared" si="223"/>
        <v>1.5660666601216904</v>
      </c>
      <c r="S317">
        <f t="shared" si="224"/>
        <v>5.1956451531437707E-2</v>
      </c>
      <c r="T317">
        <f t="shared" si="225"/>
        <v>-1.518816470983217</v>
      </c>
      <c r="U317">
        <f t="shared" si="226"/>
        <v>0.99830934381507364</v>
      </c>
      <c r="V317">
        <f t="shared" si="227"/>
        <v>-5.8157248666134732E-2</v>
      </c>
      <c r="X317">
        <f t="shared" si="244"/>
        <v>-19.898601950127595</v>
      </c>
      <c r="Y317">
        <f t="shared" si="228"/>
        <v>-92.685040977414914</v>
      </c>
      <c r="Z317">
        <f t="shared" si="245"/>
        <v>87.314959022585086</v>
      </c>
      <c r="AC317">
        <v>1</v>
      </c>
      <c r="AD317">
        <f t="shared" si="229"/>
        <v>152.60223465522003</v>
      </c>
      <c r="AE317">
        <f t="shared" si="230"/>
        <v>-4.9379648052940686E-4</v>
      </c>
      <c r="AF317">
        <f t="shared" si="231"/>
        <v>8.4811377657194997E-3</v>
      </c>
      <c r="AG317">
        <f t="shared" si="246"/>
        <v>17925.501626672747</v>
      </c>
      <c r="AH317">
        <f t="shared" si="247"/>
        <v>-1161.5834911672846</v>
      </c>
      <c r="AJ317">
        <f t="shared" si="232"/>
        <v>18000</v>
      </c>
      <c r="AK317">
        <f t="shared" si="233"/>
        <v>345976.05872213998</v>
      </c>
      <c r="AL317">
        <v>1</v>
      </c>
      <c r="AM317">
        <f t="shared" si="234"/>
        <v>211.42981366352998</v>
      </c>
      <c r="AN317">
        <f t="shared" si="248"/>
        <v>1636.72968403699</v>
      </c>
      <c r="AO317">
        <f t="shared" si="249"/>
        <v>-77.393391369126235</v>
      </c>
      <c r="AQ317">
        <f t="shared" si="235"/>
        <v>9.4259502064754398E-3</v>
      </c>
      <c r="AR317">
        <f t="shared" si="236"/>
        <v>-9.7087287126697017</v>
      </c>
      <c r="AT317">
        <f t="shared" si="261"/>
        <v>-11108.534107099818</v>
      </c>
      <c r="AU317">
        <f t="shared" si="262"/>
        <v>-174044.78136003355</v>
      </c>
      <c r="AV317">
        <f t="shared" si="250"/>
        <v>-1.6345355921700515</v>
      </c>
      <c r="AW317">
        <f t="shared" si="251"/>
        <v>41169.484199949446</v>
      </c>
      <c r="AX317">
        <f t="shared" si="252"/>
        <v>-19642.329823813212</v>
      </c>
      <c r="AY317">
        <f t="shared" si="260"/>
        <v>-0.44516765219626392</v>
      </c>
      <c r="BA317">
        <f t="shared" si="237"/>
        <v>3.82326244197704</v>
      </c>
      <c r="BB317">
        <f t="shared" si="253"/>
        <v>11.648682210396084</v>
      </c>
      <c r="BC317">
        <f t="shared" si="254"/>
        <v>-1.1893679399737875</v>
      </c>
      <c r="BD317">
        <f t="shared" si="238"/>
        <v>-248.14576332653496</v>
      </c>
      <c r="BF317">
        <f t="shared" si="239"/>
        <v>-29.048305695681282</v>
      </c>
      <c r="BG317">
        <f t="shared" si="240"/>
        <v>-159.83042297629228</v>
      </c>
      <c r="BH317">
        <f t="shared" si="255"/>
        <v>20.169577023707717</v>
      </c>
      <c r="BI317">
        <f t="shared" si="256"/>
        <v>20.169577023707717</v>
      </c>
      <c r="BJ317">
        <f t="shared" si="241"/>
        <v>0</v>
      </c>
      <c r="BK317">
        <f t="shared" si="257"/>
        <v>0</v>
      </c>
      <c r="BM317">
        <f t="shared" si="258"/>
        <v>-40.696987906077368</v>
      </c>
      <c r="BN317">
        <f t="shared" si="242"/>
        <v>-91.68465964975735</v>
      </c>
      <c r="BQ317" s="66">
        <f t="shared" si="259"/>
        <v>28.55064301068122</v>
      </c>
      <c r="BR317" s="71"/>
      <c r="BS317" s="71"/>
      <c r="BT317" s="71">
        <v>117489.755</v>
      </c>
      <c r="BU317" s="71">
        <v>7.6753600000000004</v>
      </c>
      <c r="BV317" s="71">
        <v>-129.61699999999999</v>
      </c>
      <c r="BY317" s="71"/>
      <c r="BZ317" s="71"/>
      <c r="CA317" s="71"/>
      <c r="CC317" s="71"/>
    </row>
    <row r="318" spans="1:81" x14ac:dyDescent="0.2">
      <c r="A318">
        <f t="shared" si="263"/>
        <v>520000</v>
      </c>
      <c r="B318">
        <f t="shared" si="243"/>
        <v>520</v>
      </c>
      <c r="C318">
        <f t="shared" si="212"/>
        <v>32.361292171845577</v>
      </c>
      <c r="D318">
        <f t="shared" si="213"/>
        <v>1.5398902922152644</v>
      </c>
      <c r="F318">
        <f t="shared" si="214"/>
        <v>1.8829257013886728E-5</v>
      </c>
      <c r="G318">
        <f t="shared" si="215"/>
        <v>1.7857023695357021E-3</v>
      </c>
      <c r="H318">
        <f t="shared" si="216"/>
        <v>-3.1398069476304644</v>
      </c>
      <c r="J318">
        <f t="shared" si="217"/>
        <v>15</v>
      </c>
      <c r="M318">
        <f t="shared" si="218"/>
        <v>6.487498380672722E-3</v>
      </c>
      <c r="N318">
        <f t="shared" si="219"/>
        <v>-1.5707963250000001</v>
      </c>
      <c r="O318">
        <f t="shared" si="220"/>
        <v>154.08705470205376</v>
      </c>
      <c r="P318">
        <f t="shared" si="221"/>
        <v>1.5643064433862444</v>
      </c>
      <c r="Q318">
        <f t="shared" si="222"/>
        <v>213.48487240021123</v>
      </c>
      <c r="R318">
        <f t="shared" si="223"/>
        <v>1.5661121370173949</v>
      </c>
      <c r="S318">
        <f t="shared" si="224"/>
        <v>5.1458199535575913E-2</v>
      </c>
      <c r="T318">
        <f t="shared" si="225"/>
        <v>-1.5193153903980205</v>
      </c>
      <c r="U318">
        <f t="shared" si="226"/>
        <v>0.99827644141473293</v>
      </c>
      <c r="V318">
        <f t="shared" si="227"/>
        <v>-5.8720591311497941E-2</v>
      </c>
      <c r="X318">
        <f t="shared" si="244"/>
        <v>-19.982675430804754</v>
      </c>
      <c r="Y318">
        <f t="shared" si="228"/>
        <v>-92.723500836365346</v>
      </c>
      <c r="Z318">
        <f t="shared" si="245"/>
        <v>87.276499163634654</v>
      </c>
      <c r="AC318">
        <v>1</v>
      </c>
      <c r="AD318">
        <f t="shared" si="229"/>
        <v>154.08380974896002</v>
      </c>
      <c r="AE318">
        <f t="shared" si="230"/>
        <v>-5.0343130675898436E-4</v>
      </c>
      <c r="AF318">
        <f t="shared" si="231"/>
        <v>8.5634789090759996E-3</v>
      </c>
      <c r="AG318">
        <f t="shared" si="246"/>
        <v>17924.320064434018</v>
      </c>
      <c r="AH318">
        <f t="shared" si="247"/>
        <v>-1170.5130565780601</v>
      </c>
      <c r="AJ318">
        <f t="shared" si="232"/>
        <v>18000</v>
      </c>
      <c r="AK318">
        <f t="shared" si="233"/>
        <v>349335.04958351998</v>
      </c>
      <c r="AL318">
        <v>1</v>
      </c>
      <c r="AM318">
        <f t="shared" si="234"/>
        <v>213.48253030103999</v>
      </c>
      <c r="AN318">
        <f t="shared" si="248"/>
        <v>1636.7226786555332</v>
      </c>
      <c r="AO318">
        <f t="shared" si="249"/>
        <v>-76.649256959199306</v>
      </c>
      <c r="AQ318">
        <f t="shared" si="235"/>
        <v>9.2455535821435071E-3</v>
      </c>
      <c r="AR318">
        <f t="shared" si="236"/>
        <v>-9.6153757254292476</v>
      </c>
      <c r="AT318">
        <f t="shared" si="261"/>
        <v>-11089.202568939456</v>
      </c>
      <c r="AU318">
        <f t="shared" si="262"/>
        <v>-172359.89408356644</v>
      </c>
      <c r="AV318">
        <f t="shared" si="250"/>
        <v>-1.63504526334984</v>
      </c>
      <c r="AW318">
        <f t="shared" si="251"/>
        <v>41180.944587368853</v>
      </c>
      <c r="AX318">
        <f t="shared" si="252"/>
        <v>-19498.532955690676</v>
      </c>
      <c r="AY318">
        <f t="shared" si="260"/>
        <v>-0.44221097933174441</v>
      </c>
      <c r="BA318">
        <f t="shared" si="237"/>
        <v>3.7906434905721276</v>
      </c>
      <c r="BB318">
        <f t="shared" si="253"/>
        <v>11.574258820378255</v>
      </c>
      <c r="BC318">
        <f t="shared" si="254"/>
        <v>-1.1928342840180957</v>
      </c>
      <c r="BD318">
        <f t="shared" si="238"/>
        <v>-248.34437021084105</v>
      </c>
      <c r="BF318">
        <f t="shared" si="239"/>
        <v>-29.206735239670429</v>
      </c>
      <c r="BG318">
        <f t="shared" si="240"/>
        <v>-160.01284224356493</v>
      </c>
      <c r="BH318">
        <f t="shared" si="255"/>
        <v>19.987157756435067</v>
      </c>
      <c r="BI318">
        <f t="shared" si="256"/>
        <v>19.987157756435067</v>
      </c>
      <c r="BJ318">
        <f t="shared" si="241"/>
        <v>0</v>
      </c>
      <c r="BK318">
        <f t="shared" si="257"/>
        <v>0</v>
      </c>
      <c r="BM318">
        <f t="shared" si="258"/>
        <v>-40.780994060048677</v>
      </c>
      <c r="BN318">
        <f t="shared" si="242"/>
        <v>-91.668472032723912</v>
      </c>
      <c r="BQ318" s="66">
        <f t="shared" si="259"/>
        <v>28.476219620663393</v>
      </c>
      <c r="BR318" s="71"/>
      <c r="BS318" s="71"/>
      <c r="BT318" s="71">
        <v>120226.443</v>
      </c>
      <c r="BU318" s="71">
        <v>7.9446199999999996</v>
      </c>
      <c r="BV318" s="71">
        <v>-129.863</v>
      </c>
      <c r="BY318" s="71"/>
      <c r="BZ318" s="71"/>
      <c r="CA318" s="71"/>
      <c r="CC318" s="71"/>
    </row>
    <row r="319" spans="1:81" x14ac:dyDescent="0.2">
      <c r="A319">
        <f t="shared" si="263"/>
        <v>525000</v>
      </c>
      <c r="B319">
        <f t="shared" si="243"/>
        <v>525</v>
      </c>
      <c r="C319">
        <f t="shared" si="212"/>
        <v>32.672162730174172</v>
      </c>
      <c r="D319">
        <f t="shared" si="213"/>
        <v>1.5401844506697582</v>
      </c>
      <c r="F319">
        <f t="shared" si="214"/>
        <v>1.847230627730482E-5</v>
      </c>
      <c r="G319">
        <f t="shared" si="215"/>
        <v>1.7686950792640554E-3</v>
      </c>
      <c r="H319">
        <f t="shared" si="216"/>
        <v>-3.1398239549207361</v>
      </c>
      <c r="J319">
        <f t="shared" si="217"/>
        <v>15</v>
      </c>
      <c r="M319">
        <f t="shared" si="218"/>
        <v>6.4257126818091726E-3</v>
      </c>
      <c r="N319">
        <f t="shared" si="219"/>
        <v>-1.5707963250000001</v>
      </c>
      <c r="O319">
        <f t="shared" si="220"/>
        <v>155.56859889212012</v>
      </c>
      <c r="P319">
        <f t="shared" si="221"/>
        <v>1.5643682500888663</v>
      </c>
      <c r="Q319">
        <f t="shared" si="222"/>
        <v>215.53756673225607</v>
      </c>
      <c r="R319">
        <f t="shared" si="223"/>
        <v>1.5661567477053409</v>
      </c>
      <c r="S319">
        <f t="shared" si="224"/>
        <v>5.096940071366414E-2</v>
      </c>
      <c r="T319">
        <f t="shared" si="225"/>
        <v>-1.5198048315124093</v>
      </c>
      <c r="U319">
        <f t="shared" si="226"/>
        <v>0.99824322441708857</v>
      </c>
      <c r="V319">
        <f t="shared" si="227"/>
        <v>-5.9283896645900641E-2</v>
      </c>
      <c r="X319">
        <f t="shared" si="244"/>
        <v>-20.065952393383952</v>
      </c>
      <c r="Y319">
        <f t="shared" si="228"/>
        <v>-92.761841905478903</v>
      </c>
      <c r="Z319">
        <f t="shared" si="245"/>
        <v>87.238158094521097</v>
      </c>
      <c r="AC319">
        <v>1</v>
      </c>
      <c r="AD319">
        <f t="shared" si="229"/>
        <v>155.56538484270001</v>
      </c>
      <c r="AE319">
        <f t="shared" si="230"/>
        <v>-5.1315922309706015E-4</v>
      </c>
      <c r="AF319">
        <f t="shared" si="231"/>
        <v>8.6458200524324996E-3</v>
      </c>
      <c r="AG319">
        <f t="shared" si="246"/>
        <v>17923.127244154955</v>
      </c>
      <c r="AH319">
        <f t="shared" si="247"/>
        <v>-1179.4622129813204</v>
      </c>
      <c r="AJ319">
        <f t="shared" si="232"/>
        <v>18000</v>
      </c>
      <c r="AK319">
        <f t="shared" si="233"/>
        <v>352694.04044489999</v>
      </c>
      <c r="AL319">
        <v>1</v>
      </c>
      <c r="AM319">
        <f t="shared" si="234"/>
        <v>215.53524693855002</v>
      </c>
      <c r="AN319">
        <f t="shared" si="248"/>
        <v>1636.7158724674393</v>
      </c>
      <c r="AO319">
        <f t="shared" si="249"/>
        <v>-75.919295613852896</v>
      </c>
      <c r="AQ319">
        <f t="shared" si="235"/>
        <v>9.0702865575632129E-3</v>
      </c>
      <c r="AR319">
        <f t="shared" si="236"/>
        <v>-9.5238008854413732</v>
      </c>
      <c r="AT319">
        <f t="shared" si="261"/>
        <v>-11070.395368223986</v>
      </c>
      <c r="AU319">
        <f t="shared" si="262"/>
        <v>-170706.99317801691</v>
      </c>
      <c r="AV319">
        <f t="shared" si="250"/>
        <v>-1.6355559194823923</v>
      </c>
      <c r="AW319">
        <f t="shared" si="251"/>
        <v>41191.978340187627</v>
      </c>
      <c r="AX319">
        <f t="shared" si="252"/>
        <v>-19357.90348030339</v>
      </c>
      <c r="AY319">
        <f t="shared" si="260"/>
        <v>-0.43931462896968998</v>
      </c>
      <c r="BA319">
        <f t="shared" si="237"/>
        <v>3.7585416520952841</v>
      </c>
      <c r="BB319">
        <f t="shared" si="253"/>
        <v>11.500387349058315</v>
      </c>
      <c r="BC319">
        <f t="shared" si="254"/>
        <v>-1.1962412905127024</v>
      </c>
      <c r="BD319">
        <f t="shared" si="238"/>
        <v>-248.53957730397875</v>
      </c>
      <c r="BF319">
        <f t="shared" si="239"/>
        <v>-29.363807385323963</v>
      </c>
      <c r="BG319">
        <f t="shared" si="240"/>
        <v>-160.19216974468742</v>
      </c>
      <c r="BH319">
        <f t="shared" si="255"/>
        <v>19.807830255312581</v>
      </c>
      <c r="BI319">
        <f t="shared" si="256"/>
        <v>19.807830255312581</v>
      </c>
      <c r="BJ319">
        <f t="shared" si="241"/>
        <v>0</v>
      </c>
      <c r="BK319">
        <f t="shared" si="257"/>
        <v>0</v>
      </c>
      <c r="BM319">
        <f t="shared" si="258"/>
        <v>-40.864194734382274</v>
      </c>
      <c r="BN319">
        <f t="shared" si="242"/>
        <v>-91.652592440708702</v>
      </c>
      <c r="BQ319" s="66">
        <f t="shared" si="259"/>
        <v>28.40234814934345</v>
      </c>
      <c r="BR319" s="71"/>
      <c r="BS319" s="71"/>
      <c r="BT319" s="71">
        <v>123026.87699999999</v>
      </c>
      <c r="BU319" s="71">
        <v>8.1865900000000007</v>
      </c>
      <c r="BV319" s="71">
        <v>-130.31299999999999</v>
      </c>
      <c r="BY319" s="71"/>
      <c r="BZ319" s="71"/>
      <c r="CA319" s="71"/>
      <c r="CC319" s="71"/>
    </row>
    <row r="320" spans="1:81" x14ac:dyDescent="0.2">
      <c r="A320">
        <f t="shared" si="263"/>
        <v>530000</v>
      </c>
      <c r="B320">
        <f t="shared" si="243"/>
        <v>530</v>
      </c>
      <c r="C320">
        <f t="shared" si="212"/>
        <v>32.983036062306915</v>
      </c>
      <c r="D320">
        <f t="shared" si="213"/>
        <v>1.5404730641153968</v>
      </c>
      <c r="F320">
        <f t="shared" si="214"/>
        <v>1.8125410416878071E-5</v>
      </c>
      <c r="G320">
        <f t="shared" si="215"/>
        <v>1.7520086980324734E-3</v>
      </c>
      <c r="H320">
        <f t="shared" si="216"/>
        <v>-3.1398406413019679</v>
      </c>
      <c r="J320">
        <f t="shared" si="217"/>
        <v>15</v>
      </c>
      <c r="M320">
        <f t="shared" si="218"/>
        <v>6.3650927508487089E-3</v>
      </c>
      <c r="N320">
        <f t="shared" si="219"/>
        <v>-1.5707963250000001</v>
      </c>
      <c r="O320">
        <f t="shared" si="220"/>
        <v>157.0501436652568</v>
      </c>
      <c r="P320">
        <f t="shared" si="221"/>
        <v>1.5644288906750214</v>
      </c>
      <c r="Q320">
        <f t="shared" si="222"/>
        <v>217.59026148515201</v>
      </c>
      <c r="R320">
        <f t="shared" si="223"/>
        <v>1.566200516700142</v>
      </c>
      <c r="S320">
        <f t="shared" si="224"/>
        <v>5.0489788907742444E-2</v>
      </c>
      <c r="T320">
        <f t="shared" si="225"/>
        <v>-1.5202850616552148</v>
      </c>
      <c r="U320">
        <f t="shared" si="226"/>
        <v>0.99820969291678163</v>
      </c>
      <c r="V320">
        <f t="shared" si="227"/>
        <v>-5.9847164315597078E-2</v>
      </c>
      <c r="X320">
        <f t="shared" si="244"/>
        <v>-20.148447918781443</v>
      </c>
      <c r="Y320">
        <f t="shared" si="228"/>
        <v>-92.800067424654657</v>
      </c>
      <c r="Z320">
        <f t="shared" si="245"/>
        <v>87.199932575345343</v>
      </c>
      <c r="AC320">
        <v>1</v>
      </c>
      <c r="AD320">
        <f t="shared" si="229"/>
        <v>157.04695993644003</v>
      </c>
      <c r="AE320">
        <f t="shared" si="230"/>
        <v>-5.2298022954363436E-4</v>
      </c>
      <c r="AF320">
        <f t="shared" si="231"/>
        <v>8.7281611957889995E-3</v>
      </c>
      <c r="AG320">
        <f t="shared" si="246"/>
        <v>17921.923170361682</v>
      </c>
      <c r="AH320">
        <f t="shared" si="247"/>
        <v>-1188.430330377447</v>
      </c>
      <c r="AJ320">
        <f t="shared" si="232"/>
        <v>18000</v>
      </c>
      <c r="AK320">
        <f t="shared" si="233"/>
        <v>356053.03130628</v>
      </c>
      <c r="AL320">
        <v>1</v>
      </c>
      <c r="AM320">
        <f t="shared" si="234"/>
        <v>217.58796357605999</v>
      </c>
      <c r="AN320">
        <f t="shared" si="248"/>
        <v>1636.709257991814</v>
      </c>
      <c r="AO320">
        <f t="shared" si="249"/>
        <v>-75.203106242998771</v>
      </c>
      <c r="AQ320">
        <f t="shared" si="235"/>
        <v>8.8999564792128158E-3</v>
      </c>
      <c r="AR320">
        <f t="shared" si="236"/>
        <v>-9.4339538679655863</v>
      </c>
      <c r="AT320">
        <f t="shared" si="261"/>
        <v>-11052.092575831921</v>
      </c>
      <c r="AU320">
        <f t="shared" si="262"/>
        <v>-169085.17339263461</v>
      </c>
      <c r="AV320">
        <f t="shared" si="250"/>
        <v>-1.6360675312838266</v>
      </c>
      <c r="AW320">
        <f t="shared" si="251"/>
        <v>41202.600541235079</v>
      </c>
      <c r="AX320">
        <f t="shared" si="252"/>
        <v>-19220.351499849836</v>
      </c>
      <c r="AY320">
        <f t="shared" si="260"/>
        <v>-0.43647710125541894</v>
      </c>
      <c r="BA320">
        <f t="shared" si="237"/>
        <v>3.7269456554876772</v>
      </c>
      <c r="BB320">
        <f t="shared" si="253"/>
        <v>11.427061202573999</v>
      </c>
      <c r="BC320">
        <f t="shared" si="254"/>
        <v>-1.1995904300284077</v>
      </c>
      <c r="BD320">
        <f t="shared" si="238"/>
        <v>-248.73146886344841</v>
      </c>
      <c r="BF320">
        <f t="shared" si="239"/>
        <v>-29.519544040866002</v>
      </c>
      <c r="BG320">
        <f t="shared" si="240"/>
        <v>-160.3684810310134</v>
      </c>
      <c r="BH320">
        <f t="shared" si="255"/>
        <v>19.631518968986597</v>
      </c>
      <c r="BI320">
        <f t="shared" si="256"/>
        <v>19.631518968986597</v>
      </c>
      <c r="BJ320">
        <f t="shared" si="241"/>
        <v>0</v>
      </c>
      <c r="BK320">
        <f t="shared" si="257"/>
        <v>0</v>
      </c>
      <c r="BM320">
        <f t="shared" si="258"/>
        <v>-40.946605243440004</v>
      </c>
      <c r="BN320">
        <f t="shared" si="242"/>
        <v>-91.637012167565004</v>
      </c>
      <c r="BQ320" s="66">
        <f t="shared" si="259"/>
        <v>28.329022002859134</v>
      </c>
      <c r="BR320" s="71"/>
      <c r="BS320" s="71"/>
      <c r="BT320" s="71">
        <v>125892.541</v>
      </c>
      <c r="BU320" s="71">
        <v>8.4445800000000002</v>
      </c>
      <c r="BV320" s="71">
        <v>-130.77099999999999</v>
      </c>
      <c r="BY320" s="71"/>
      <c r="BZ320" s="71"/>
      <c r="CA320" s="71"/>
      <c r="CC320" s="71"/>
    </row>
    <row r="321" spans="1:81" x14ac:dyDescent="0.2">
      <c r="A321">
        <f t="shared" si="263"/>
        <v>535000</v>
      </c>
      <c r="B321">
        <f t="shared" si="243"/>
        <v>535</v>
      </c>
      <c r="C321">
        <f t="shared" si="212"/>
        <v>33.293912090544772</v>
      </c>
      <c r="D321">
        <f t="shared" si="213"/>
        <v>1.5407562878300365</v>
      </c>
      <c r="F321">
        <f t="shared" si="214"/>
        <v>1.7788195301081425E-5</v>
      </c>
      <c r="G321">
        <f t="shared" si="215"/>
        <v>1.7356342277730439E-3</v>
      </c>
      <c r="H321">
        <f t="shared" si="216"/>
        <v>-3.1398570157722272</v>
      </c>
      <c r="J321">
        <f t="shared" si="217"/>
        <v>15</v>
      </c>
      <c r="M321">
        <f t="shared" si="218"/>
        <v>6.3056059027099343E-3</v>
      </c>
      <c r="N321">
        <f t="shared" si="219"/>
        <v>-1.5707963250000001</v>
      </c>
      <c r="O321">
        <f t="shared" si="220"/>
        <v>158.53168900511662</v>
      </c>
      <c r="P321">
        <f t="shared" si="221"/>
        <v>1.5644883978378046</v>
      </c>
      <c r="Q321">
        <f t="shared" si="222"/>
        <v>219.64295664709974</v>
      </c>
      <c r="R321">
        <f t="shared" si="223"/>
        <v>1.5662434676000101</v>
      </c>
      <c r="S321">
        <f t="shared" si="224"/>
        <v>5.0019107846124233E-2</v>
      </c>
      <c r="T321">
        <f t="shared" si="225"/>
        <v>-1.520756338204154</v>
      </c>
      <c r="U321">
        <f t="shared" si="226"/>
        <v>0.99817584700933204</v>
      </c>
      <c r="V321">
        <f t="shared" si="227"/>
        <v>-6.0410393966984409E-2</v>
      </c>
      <c r="X321">
        <f t="shared" si="244"/>
        <v>-20.230176665672129</v>
      </c>
      <c r="Y321">
        <f t="shared" si="228"/>
        <v>-92.838180513820788</v>
      </c>
      <c r="Z321">
        <f t="shared" si="245"/>
        <v>87.161819486179212</v>
      </c>
      <c r="AC321">
        <v>1</v>
      </c>
      <c r="AD321">
        <f t="shared" si="229"/>
        <v>158.52853503018002</v>
      </c>
      <c r="AE321">
        <f t="shared" si="230"/>
        <v>-5.3289432609870686E-4</v>
      </c>
      <c r="AF321">
        <f t="shared" si="231"/>
        <v>8.8105023391454994E-3</v>
      </c>
      <c r="AG321">
        <f t="shared" si="246"/>
        <v>17920.707847622089</v>
      </c>
      <c r="AH321">
        <f t="shared" si="247"/>
        <v>-1197.4168016274057</v>
      </c>
      <c r="AJ321">
        <f t="shared" si="232"/>
        <v>18000</v>
      </c>
      <c r="AK321">
        <f t="shared" si="233"/>
        <v>359412.02216765995</v>
      </c>
      <c r="AL321">
        <v>1</v>
      </c>
      <c r="AM321">
        <f t="shared" si="234"/>
        <v>219.64068021356999</v>
      </c>
      <c r="AN321">
        <f t="shared" si="248"/>
        <v>1636.7028280956802</v>
      </c>
      <c r="AO321">
        <f t="shared" si="249"/>
        <v>-74.500302748986613</v>
      </c>
      <c r="AQ321">
        <f t="shared" si="235"/>
        <v>8.7343796537866589E-3</v>
      </c>
      <c r="AR321">
        <f t="shared" si="236"/>
        <v>-9.3457862295517256</v>
      </c>
      <c r="AT321">
        <f t="shared" si="261"/>
        <v>-11034.275189677553</v>
      </c>
      <c r="AU321">
        <f t="shared" si="262"/>
        <v>-167493.5633190753</v>
      </c>
      <c r="AV321">
        <f t="shared" si="250"/>
        <v>-1.6365800705518196</v>
      </c>
      <c r="AW321">
        <f t="shared" si="251"/>
        <v>41212.825572448841</v>
      </c>
      <c r="AX321">
        <f t="shared" si="252"/>
        <v>-19085.790479554154</v>
      </c>
      <c r="AY321">
        <f t="shared" si="260"/>
        <v>-0.43369694397977349</v>
      </c>
      <c r="BA321">
        <f t="shared" si="237"/>
        <v>3.6958445205520469</v>
      </c>
      <c r="BB321">
        <f t="shared" si="253"/>
        <v>11.354273854388888</v>
      </c>
      <c r="BC321">
        <f t="shared" si="254"/>
        <v>-1.2028831265720461</v>
      </c>
      <c r="BD321">
        <f t="shared" si="238"/>
        <v>-248.92012647883178</v>
      </c>
      <c r="BF321">
        <f t="shared" si="239"/>
        <v>-29.673966614154832</v>
      </c>
      <c r="BG321">
        <f t="shared" si="240"/>
        <v>-160.54184931091007</v>
      </c>
      <c r="BH321">
        <f t="shared" si="255"/>
        <v>19.458150689089933</v>
      </c>
      <c r="BI321">
        <f t="shared" si="256"/>
        <v>19.458150689089933</v>
      </c>
      <c r="BJ321">
        <f t="shared" si="241"/>
        <v>0</v>
      </c>
      <c r="BK321">
        <f t="shared" si="257"/>
        <v>0</v>
      </c>
      <c r="BM321">
        <f t="shared" si="258"/>
        <v>-41.028240468543721</v>
      </c>
      <c r="BN321">
        <f t="shared" si="242"/>
        <v>-91.621722832078277</v>
      </c>
      <c r="BQ321" s="66">
        <f t="shared" si="259"/>
        <v>28.256234654674024</v>
      </c>
      <c r="BR321" s="71"/>
      <c r="BS321" s="71"/>
      <c r="BT321" s="71">
        <v>128824.955</v>
      </c>
      <c r="BU321" s="71">
        <v>8.6780500000000007</v>
      </c>
      <c r="BV321" s="71">
        <v>-131.42599999999999</v>
      </c>
      <c r="BY321" s="71"/>
      <c r="BZ321" s="71"/>
      <c r="CA321" s="71"/>
      <c r="CC321" s="71"/>
    </row>
    <row r="322" spans="1:81" x14ac:dyDescent="0.2">
      <c r="A322">
        <f t="shared" si="263"/>
        <v>540000</v>
      </c>
      <c r="B322">
        <f t="shared" si="243"/>
        <v>540</v>
      </c>
      <c r="C322">
        <f t="shared" si="212"/>
        <v>33.604790740063173</v>
      </c>
      <c r="D322">
        <f t="shared" si="213"/>
        <v>1.5410342713491527</v>
      </c>
      <c r="F322">
        <f t="shared" si="214"/>
        <v>1.7460304039288407E-5</v>
      </c>
      <c r="G322">
        <f t="shared" si="215"/>
        <v>1.7195630037078525E-3</v>
      </c>
      <c r="H322">
        <f t="shared" si="216"/>
        <v>-3.1398730869962925</v>
      </c>
      <c r="J322">
        <f t="shared" si="217"/>
        <v>15</v>
      </c>
      <c r="M322">
        <f t="shared" si="218"/>
        <v>6.2472206628700283E-3</v>
      </c>
      <c r="N322">
        <f t="shared" si="219"/>
        <v>-1.5707963250000001</v>
      </c>
      <c r="O322">
        <f t="shared" si="220"/>
        <v>160.01323489595794</v>
      </c>
      <c r="P322">
        <f t="shared" si="221"/>
        <v>1.5645468030595358</v>
      </c>
      <c r="Q322">
        <f t="shared" si="222"/>
        <v>221.69565220673692</v>
      </c>
      <c r="R322">
        <f t="shared" si="223"/>
        <v>1.5662856231291789</v>
      </c>
      <c r="S322">
        <f t="shared" si="224"/>
        <v>4.9557110689165094E-2</v>
      </c>
      <c r="T322">
        <f t="shared" si="225"/>
        <v>-1.5212189090442108</v>
      </c>
      <c r="U322">
        <f t="shared" si="226"/>
        <v>0.99814168679113791</v>
      </c>
      <c r="V322">
        <f t="shared" si="227"/>
        <v>-6.0973585246603998E-2</v>
      </c>
      <c r="X322">
        <f t="shared" si="244"/>
        <v>-20.311152886082567</v>
      </c>
      <c r="Y322">
        <f t="shared" si="228"/>
        <v>-92.876184178385813</v>
      </c>
      <c r="Z322">
        <f t="shared" si="245"/>
        <v>87.123815821614187</v>
      </c>
      <c r="AC322">
        <v>1</v>
      </c>
      <c r="AD322">
        <f t="shared" si="229"/>
        <v>160.01011012392001</v>
      </c>
      <c r="AE322">
        <f t="shared" si="230"/>
        <v>-5.4290151276227756E-4</v>
      </c>
      <c r="AF322">
        <f t="shared" si="231"/>
        <v>8.8928434825020011E-3</v>
      </c>
      <c r="AG322">
        <f t="shared" si="246"/>
        <v>17919.481280545806</v>
      </c>
      <c r="AH322">
        <f t="shared" si="247"/>
        <v>-1206.4210413950932</v>
      </c>
      <c r="AJ322">
        <f t="shared" si="232"/>
        <v>18000</v>
      </c>
      <c r="AK322">
        <f t="shared" si="233"/>
        <v>362771.01302904001</v>
      </c>
      <c r="AL322">
        <v>1</v>
      </c>
      <c r="AM322">
        <f t="shared" si="234"/>
        <v>221.69339685108002</v>
      </c>
      <c r="AN322">
        <f t="shared" si="248"/>
        <v>1636.6965759747432</v>
      </c>
      <c r="AO322">
        <f t="shared" si="249"/>
        <v>-73.810513332596543</v>
      </c>
      <c r="AQ322">
        <f t="shared" si="235"/>
        <v>8.5733808527256056E-3</v>
      </c>
      <c r="AR322">
        <f t="shared" si="236"/>
        <v>-9.2592513209436547</v>
      </c>
      <c r="AT322">
        <f t="shared" si="261"/>
        <v>-11016.925083450329</v>
      </c>
      <c r="AU322">
        <f t="shared" si="262"/>
        <v>-165931.32382457546</v>
      </c>
      <c r="AV322">
        <f t="shared" si="250"/>
        <v>-1.6370935101155459</v>
      </c>
      <c r="AW322">
        <f t="shared" si="251"/>
        <v>41222.667153634735</v>
      </c>
      <c r="AX322">
        <f t="shared" si="252"/>
        <v>-18954.137091757791</v>
      </c>
      <c r="AY322">
        <f t="shared" si="260"/>
        <v>-0.43097275076687991</v>
      </c>
      <c r="BA322">
        <f t="shared" si="237"/>
        <v>3.6652275503042087</v>
      </c>
      <c r="BB322">
        <f t="shared" si="253"/>
        <v>11.282018847066769</v>
      </c>
      <c r="BC322">
        <f t="shared" si="254"/>
        <v>-1.206120759348666</v>
      </c>
      <c r="BD322">
        <f t="shared" si="238"/>
        <v>-249.10562917275729</v>
      </c>
      <c r="BF322">
        <f t="shared" si="239"/>
        <v>-29.827096027097241</v>
      </c>
      <c r="BG322">
        <f t="shared" si="240"/>
        <v>-160.7123455357094</v>
      </c>
      <c r="BH322">
        <f t="shared" si="255"/>
        <v>19.287654464290597</v>
      </c>
      <c r="BI322">
        <f t="shared" si="256"/>
        <v>19.287654464290597</v>
      </c>
      <c r="BJ322">
        <f t="shared" si="241"/>
        <v>0</v>
      </c>
      <c r="BK322">
        <f t="shared" si="257"/>
        <v>0</v>
      </c>
      <c r="BM322">
        <f t="shared" si="258"/>
        <v>-41.109114874164014</v>
      </c>
      <c r="BN322">
        <f t="shared" si="242"/>
        <v>-91.606716362952127</v>
      </c>
      <c r="BQ322" s="66">
        <f t="shared" si="259"/>
        <v>28.183979647351904</v>
      </c>
      <c r="BR322" s="71"/>
      <c r="BS322" s="71"/>
      <c r="BT322" s="71">
        <v>131825.674</v>
      </c>
      <c r="BU322" s="71">
        <v>8.8889499999999995</v>
      </c>
      <c r="BV322" s="71">
        <v>-132.06399999999999</v>
      </c>
      <c r="BY322" s="71"/>
      <c r="BZ322" s="71"/>
      <c r="CA322" s="71"/>
      <c r="CC322" s="71"/>
    </row>
    <row r="323" spans="1:81" x14ac:dyDescent="0.2">
      <c r="A323">
        <f t="shared" si="263"/>
        <v>545000</v>
      </c>
      <c r="B323">
        <f t="shared" si="243"/>
        <v>545</v>
      </c>
      <c r="C323">
        <f t="shared" si="212"/>
        <v>33.915671938780399</v>
      </c>
      <c r="D323">
        <f t="shared" si="213"/>
        <v>1.5413071587287821</v>
      </c>
      <c r="F323">
        <f t="shared" si="214"/>
        <v>1.7141396037076069E-5</v>
      </c>
      <c r="G323">
        <f t="shared" si="215"/>
        <v>1.7037866790589194E-3</v>
      </c>
      <c r="H323">
        <f t="shared" si="216"/>
        <v>-3.1398888633209414</v>
      </c>
      <c r="J323">
        <f t="shared" si="217"/>
        <v>15</v>
      </c>
      <c r="M323">
        <f t="shared" si="218"/>
        <v>6.189906711834523E-3</v>
      </c>
      <c r="N323">
        <f t="shared" si="219"/>
        <v>-1.5707963250000001</v>
      </c>
      <c r="O323">
        <f t="shared" si="220"/>
        <v>161.49478132261672</v>
      </c>
      <c r="P323">
        <f t="shared" si="221"/>
        <v>1.5646041366672954</v>
      </c>
      <c r="Q323">
        <f t="shared" si="222"/>
        <v>223.7483481531182</v>
      </c>
      <c r="R323">
        <f t="shared" si="223"/>
        <v>1.5663270051779938</v>
      </c>
      <c r="S323">
        <f t="shared" si="224"/>
        <v>4.9103559599816736E-2</v>
      </c>
      <c r="T323">
        <f t="shared" si="225"/>
        <v>-1.5216730130009297</v>
      </c>
      <c r="U323">
        <f t="shared" si="226"/>
        <v>0.99810721235947486</v>
      </c>
      <c r="V323">
        <f t="shared" si="227"/>
        <v>-6.1536737801142743E-2</v>
      </c>
      <c r="X323">
        <f t="shared" si="244"/>
        <v>-20.391390440271842</v>
      </c>
      <c r="Y323">
        <f t="shared" si="228"/>
        <v>-92.914081314396256</v>
      </c>
      <c r="Z323">
        <f t="shared" si="245"/>
        <v>87.085918685603744</v>
      </c>
      <c r="AC323">
        <v>1</v>
      </c>
      <c r="AD323">
        <f t="shared" si="229"/>
        <v>161.49168521766001</v>
      </c>
      <c r="AE323">
        <f t="shared" si="230"/>
        <v>-5.5300178953434677E-4</v>
      </c>
      <c r="AF323">
        <f t="shared" si="231"/>
        <v>8.9751846258585011E-3</v>
      </c>
      <c r="AG323">
        <f t="shared" si="246"/>
        <v>17918.243473784172</v>
      </c>
      <c r="AH323">
        <f t="shared" si="247"/>
        <v>-1215.4424851479107</v>
      </c>
      <c r="AJ323">
        <f t="shared" si="232"/>
        <v>18000</v>
      </c>
      <c r="AK323">
        <f t="shared" si="233"/>
        <v>366130.00389041996</v>
      </c>
      <c r="AL323">
        <v>1</v>
      </c>
      <c r="AM323">
        <f t="shared" si="234"/>
        <v>223.74611348859</v>
      </c>
      <c r="AN323">
        <f t="shared" si="248"/>
        <v>1636.6904951353797</v>
      </c>
      <c r="AO323">
        <f t="shared" si="249"/>
        <v>-73.133379837228205</v>
      </c>
      <c r="AQ323">
        <f t="shared" si="235"/>
        <v>8.4167928484194521E-3</v>
      </c>
      <c r="AR323">
        <f t="shared" si="236"/>
        <v>-9.1743042047772025</v>
      </c>
      <c r="AT323">
        <f t="shared" si="261"/>
        <v>-11000.024958630944</v>
      </c>
      <c r="AU323">
        <f t="shared" si="262"/>
        <v>-164397.64657137648</v>
      </c>
      <c r="AV323">
        <f t="shared" si="250"/>
        <v>-1.6376078237883742</v>
      </c>
      <c r="AW323">
        <f t="shared" si="251"/>
        <v>41232.138378748983</v>
      </c>
      <c r="AX323">
        <f t="shared" si="252"/>
        <v>-18825.311068606854</v>
      </c>
      <c r="AY323">
        <f t="shared" si="260"/>
        <v>-0.42830315934090463</v>
      </c>
      <c r="BA323">
        <f t="shared" si="237"/>
        <v>3.6350843234573658</v>
      </c>
      <c r="BB323">
        <f t="shared" si="253"/>
        <v>11.21028979379094</v>
      </c>
      <c r="BC323">
        <f t="shared" si="254"/>
        <v>-1.2093046644474696</v>
      </c>
      <c r="BD323">
        <f t="shared" si="238"/>
        <v>-249.28805349749737</v>
      </c>
      <c r="BF323">
        <f t="shared" si="239"/>
        <v>-29.978952729567681</v>
      </c>
      <c r="BG323">
        <f t="shared" si="240"/>
        <v>-160.88003848211611</v>
      </c>
      <c r="BH323">
        <f t="shared" si="255"/>
        <v>19.119961517883894</v>
      </c>
      <c r="BI323">
        <f t="shared" si="256"/>
        <v>19.119961517883894</v>
      </c>
      <c r="BJ323">
        <f t="shared" si="241"/>
        <v>0</v>
      </c>
      <c r="BK323">
        <f t="shared" si="257"/>
        <v>0</v>
      </c>
      <c r="BM323">
        <f t="shared" si="258"/>
        <v>-41.189242523358622</v>
      </c>
      <c r="BN323">
        <f t="shared" si="242"/>
        <v>-91.591984984618762</v>
      </c>
      <c r="BQ323" s="66">
        <f t="shared" si="259"/>
        <v>28.112250594076077</v>
      </c>
      <c r="BR323" s="71"/>
      <c r="BS323" s="71"/>
      <c r="BT323" s="71">
        <v>134896.288</v>
      </c>
      <c r="BU323" s="71">
        <v>9.0986999999999991</v>
      </c>
      <c r="BV323" s="71">
        <v>-132.62899999999999</v>
      </c>
      <c r="BY323" s="71"/>
      <c r="BZ323" s="71"/>
      <c r="CA323" s="71"/>
      <c r="CC323" s="71"/>
    </row>
    <row r="324" spans="1:81" x14ac:dyDescent="0.2">
      <c r="A324">
        <f t="shared" si="263"/>
        <v>550000</v>
      </c>
      <c r="B324">
        <f t="shared" si="243"/>
        <v>550</v>
      </c>
      <c r="C324">
        <f t="shared" si="212"/>
        <v>34.226555617233025</v>
      </c>
      <c r="D324">
        <f t="shared" si="213"/>
        <v>1.5415750887941533</v>
      </c>
      <c r="F324">
        <f t="shared" si="214"/>
        <v>1.6831146111374016E-5</v>
      </c>
      <c r="G324">
        <f t="shared" si="215"/>
        <v>1.6882972105922343E-3</v>
      </c>
      <c r="H324">
        <f t="shared" si="216"/>
        <v>-3.1399043527894079</v>
      </c>
      <c r="J324">
        <f t="shared" si="217"/>
        <v>15</v>
      </c>
      <c r="M324">
        <f t="shared" si="218"/>
        <v>6.1336348326360276E-3</v>
      </c>
      <c r="N324">
        <f t="shared" si="219"/>
        <v>-1.5707963250000001</v>
      </c>
      <c r="O324">
        <f t="shared" si="220"/>
        <v>162.97632827048031</v>
      </c>
      <c r="P324">
        <f t="shared" si="221"/>
        <v>1.5646604278854315</v>
      </c>
      <c r="Q324">
        <f t="shared" si="222"/>
        <v>225.80104447569627</v>
      </c>
      <c r="R324">
        <f t="shared" si="223"/>
        <v>1.5663676348408144</v>
      </c>
      <c r="S324">
        <f t="shared" si="224"/>
        <v>4.8658225337404319E-2</v>
      </c>
      <c r="T324">
        <f t="shared" si="225"/>
        <v>-1.5221188802502119</v>
      </c>
      <c r="U324">
        <f t="shared" si="226"/>
        <v>0.9980724238124955</v>
      </c>
      <c r="V324">
        <f t="shared" si="227"/>
        <v>-6.2099851277434399E-2</v>
      </c>
      <c r="X324">
        <f t="shared" si="244"/>
        <v>-20.470902810938792</v>
      </c>
      <c r="Y324">
        <f t="shared" si="228"/>
        <v>-92.95187471341896</v>
      </c>
      <c r="Z324">
        <f t="shared" si="245"/>
        <v>87.04812528658104</v>
      </c>
      <c r="AC324">
        <v>1</v>
      </c>
      <c r="AD324">
        <f t="shared" si="229"/>
        <v>162.97326031140003</v>
      </c>
      <c r="AE324">
        <f t="shared" si="230"/>
        <v>-5.6319515641491407E-4</v>
      </c>
      <c r="AF324">
        <f t="shared" si="231"/>
        <v>9.057525769215001E-3</v>
      </c>
      <c r="AG324">
        <f t="shared" si="246"/>
        <v>17916.99443203018</v>
      </c>
      <c r="AH324">
        <f t="shared" si="247"/>
        <v>-1224.4805882118508</v>
      </c>
      <c r="AJ324">
        <f t="shared" si="232"/>
        <v>18000</v>
      </c>
      <c r="AK324">
        <f t="shared" si="233"/>
        <v>369488.99475179997</v>
      </c>
      <c r="AL324">
        <v>1</v>
      </c>
      <c r="AM324">
        <f t="shared" si="234"/>
        <v>225.7988301261</v>
      </c>
      <c r="AN324">
        <f t="shared" si="248"/>
        <v>1636.6845793777713</v>
      </c>
      <c r="AO324">
        <f t="shared" si="249"/>
        <v>-72.468557128856446</v>
      </c>
      <c r="AQ324">
        <f t="shared" si="235"/>
        <v>8.264455979788447E-3</v>
      </c>
      <c r="AR324">
        <f t="shared" si="236"/>
        <v>-9.0909015777672906</v>
      </c>
      <c r="AT324">
        <f t="shared" si="261"/>
        <v>-10983.558299546907</v>
      </c>
      <c r="AU324">
        <f t="shared" si="262"/>
        <v>-162891.75261691032</v>
      </c>
      <c r="AV324">
        <f t="shared" si="250"/>
        <v>-1.6381229863231432</v>
      </c>
      <c r="AW324">
        <f t="shared" si="251"/>
        <v>41241.251749882227</v>
      </c>
      <c r="AX324">
        <f t="shared" si="252"/>
        <v>-18699.235062787135</v>
      </c>
      <c r="AY324">
        <f t="shared" si="260"/>
        <v>-0.42568684986798272</v>
      </c>
      <c r="BA324">
        <f t="shared" si="237"/>
        <v>3.6054046870461995</v>
      </c>
      <c r="BB324">
        <f t="shared" si="253"/>
        <v>11.139080379649954</v>
      </c>
      <c r="BC324">
        <f t="shared" si="254"/>
        <v>-1.2124361364551606</v>
      </c>
      <c r="BD324">
        <f t="shared" si="238"/>
        <v>-249.46747362740643</v>
      </c>
      <c r="BF324">
        <f t="shared" si="239"/>
        <v>-30.129556712852295</v>
      </c>
      <c r="BG324">
        <f t="shared" si="240"/>
        <v>-161.04499483122825</v>
      </c>
      <c r="BH324">
        <f t="shared" si="255"/>
        <v>18.955005168771748</v>
      </c>
      <c r="BI324">
        <f t="shared" si="256"/>
        <v>18.955005168771748</v>
      </c>
      <c r="BJ324">
        <f t="shared" si="241"/>
        <v>0</v>
      </c>
      <c r="BK324">
        <f t="shared" si="257"/>
        <v>0</v>
      </c>
      <c r="BM324">
        <f t="shared" si="258"/>
        <v>-41.268637092502246</v>
      </c>
      <c r="BN324">
        <f t="shared" si="242"/>
        <v>-91.577521203821831</v>
      </c>
      <c r="BQ324" s="66">
        <f t="shared" si="259"/>
        <v>28.041041179935089</v>
      </c>
      <c r="BR324" s="71"/>
      <c r="BS324" s="71"/>
      <c r="BT324" s="71">
        <v>138038.42600000001</v>
      </c>
      <c r="BU324" s="71">
        <v>9.3196600000000007</v>
      </c>
      <c r="BV324" s="71">
        <v>-133.267</v>
      </c>
      <c r="BY324" s="71"/>
      <c r="BZ324" s="71"/>
      <c r="CA324" s="71"/>
      <c r="CC324" s="71"/>
    </row>
    <row r="325" spans="1:81" x14ac:dyDescent="0.2">
      <c r="A325">
        <f t="shared" si="263"/>
        <v>555000</v>
      </c>
      <c r="B325">
        <f t="shared" si="243"/>
        <v>555</v>
      </c>
      <c r="C325">
        <f t="shared" si="212"/>
        <v>34.537441708458111</v>
      </c>
      <c r="D325">
        <f t="shared" si="213"/>
        <v>1.5418381953749039</v>
      </c>
      <c r="F325">
        <f t="shared" si="214"/>
        <v>1.6529243661163851E-5</v>
      </c>
      <c r="G325">
        <f t="shared" si="215"/>
        <v>1.6730868449432834E-3</v>
      </c>
      <c r="H325">
        <f t="shared" si="216"/>
        <v>-3.1399195631550567</v>
      </c>
      <c r="J325">
        <f t="shared" si="217"/>
        <v>15</v>
      </c>
      <c r="M325">
        <f t="shared" si="218"/>
        <v>6.0783768611708386E-3</v>
      </c>
      <c r="N325">
        <f t="shared" si="219"/>
        <v>-1.5707963250000001</v>
      </c>
      <c r="O325">
        <f t="shared" si="220"/>
        <v>164.45787572546257</v>
      </c>
      <c r="P325">
        <f t="shared" si="221"/>
        <v>1.5647157048852285</v>
      </c>
      <c r="Q325">
        <f t="shared" si="222"/>
        <v>227.85374116430381</v>
      </c>
      <c r="R325">
        <f t="shared" si="223"/>
        <v>1.5664075324518678</v>
      </c>
      <c r="S325">
        <f t="shared" si="224"/>
        <v>4.8220886873176848E-2</v>
      </c>
      <c r="T325">
        <f t="shared" si="225"/>
        <v>-1.5225567327060812</v>
      </c>
      <c r="U325">
        <f t="shared" si="226"/>
        <v>0.99803732124922784</v>
      </c>
      <c r="V325">
        <f t="shared" si="227"/>
        <v>-6.266292532246083E-2</v>
      </c>
      <c r="X325">
        <f t="shared" si="244"/>
        <v>-20.549703116791971</v>
      </c>
      <c r="Y325">
        <f t="shared" si="228"/>
        <v>-92.989567067165041</v>
      </c>
      <c r="Z325">
        <f t="shared" si="245"/>
        <v>87.010432932834959</v>
      </c>
      <c r="AC325">
        <v>1</v>
      </c>
      <c r="AD325">
        <f t="shared" si="229"/>
        <v>164.45483540514002</v>
      </c>
      <c r="AE325">
        <f t="shared" si="230"/>
        <v>-5.7348161340397988E-4</v>
      </c>
      <c r="AF325">
        <f t="shared" si="231"/>
        <v>9.139866912571501E-3</v>
      </c>
      <c r="AG325">
        <f t="shared" si="246"/>
        <v>17915.734160018405</v>
      </c>
      <c r="AH325">
        <f t="shared" si="247"/>
        <v>-1233.5348248776759</v>
      </c>
      <c r="AJ325">
        <f t="shared" si="232"/>
        <v>18000</v>
      </c>
      <c r="AK325">
        <f t="shared" si="233"/>
        <v>372847.98561317998</v>
      </c>
      <c r="AL325">
        <v>1</v>
      </c>
      <c r="AM325">
        <f t="shared" si="234"/>
        <v>227.85154676361</v>
      </c>
      <c r="AN325">
        <f t="shared" si="248"/>
        <v>1636.6788227800971</v>
      </c>
      <c r="AO325">
        <f t="shared" si="249"/>
        <v>-71.815712509498212</v>
      </c>
      <c r="AQ325">
        <f t="shared" si="235"/>
        <v>8.1162177451361544E-3</v>
      </c>
      <c r="AR325">
        <f t="shared" si="236"/>
        <v>-9.0090016971011302</v>
      </c>
      <c r="AT325">
        <f t="shared" si="261"/>
        <v>-10967.509331249643</v>
      </c>
      <c r="AU325">
        <f t="shared" si="262"/>
        <v>-161412.89108965342</v>
      </c>
      <c r="AV325">
        <f t="shared" si="250"/>
        <v>-1.6386389733698548</v>
      </c>
      <c r="AW325">
        <f t="shared" si="251"/>
        <v>41250.019209110353</v>
      </c>
      <c r="AX325">
        <f t="shared" si="252"/>
        <v>-18575.834515798546</v>
      </c>
      <c r="AY325">
        <f t="shared" si="260"/>
        <v>-0.42312254336970001</v>
      </c>
      <c r="BA325">
        <f t="shared" si="237"/>
        <v>3.5761787491962873</v>
      </c>
      <c r="BB325">
        <f t="shared" si="253"/>
        <v>11.0683843627095</v>
      </c>
      <c r="BC325">
        <f t="shared" si="254"/>
        <v>-1.2155164300001546</v>
      </c>
      <c r="BD325">
        <f t="shared" si="238"/>
        <v>-249.64396144739766</v>
      </c>
      <c r="BF325">
        <f t="shared" si="239"/>
        <v>-30.27892752263671</v>
      </c>
      <c r="BG325">
        <f t="shared" si="240"/>
        <v>-161.20727924432063</v>
      </c>
      <c r="BH325">
        <f t="shared" si="255"/>
        <v>18.792720755679369</v>
      </c>
      <c r="BI325">
        <f t="shared" si="256"/>
        <v>18.792720755679369</v>
      </c>
      <c r="BJ325">
        <f t="shared" si="241"/>
        <v>0</v>
      </c>
      <c r="BK325">
        <f t="shared" si="257"/>
        <v>0</v>
      </c>
      <c r="BM325">
        <f t="shared" si="258"/>
        <v>-41.347311885346215</v>
      </c>
      <c r="BN325">
        <f t="shared" si="242"/>
        <v>-91.563317796923002</v>
      </c>
      <c r="BQ325" s="66">
        <f t="shared" si="259"/>
        <v>27.970345162994636</v>
      </c>
      <c r="BR325" s="71"/>
      <c r="BS325" s="71"/>
      <c r="BT325" s="71">
        <v>141253.75399999999</v>
      </c>
      <c r="BU325" s="71">
        <v>9.5290400000000002</v>
      </c>
      <c r="BV325" s="71">
        <v>-133.959</v>
      </c>
      <c r="BY325" s="71"/>
      <c r="BZ325" s="71"/>
      <c r="CA325" s="71"/>
      <c r="CC325" s="71"/>
    </row>
    <row r="326" spans="1:81" x14ac:dyDescent="0.2">
      <c r="A326">
        <f t="shared" si="263"/>
        <v>560000</v>
      </c>
      <c r="B326">
        <f t="shared" si="243"/>
        <v>560</v>
      </c>
      <c r="C326">
        <f t="shared" si="212"/>
        <v>34.848330147881782</v>
      </c>
      <c r="D326">
        <f t="shared" si="213"/>
        <v>1.5420966075277225</v>
      </c>
      <c r="F326">
        <f t="shared" si="214"/>
        <v>1.6235391889778837E-5</v>
      </c>
      <c r="G326">
        <f t="shared" si="215"/>
        <v>1.65814810567522E-3</v>
      </c>
      <c r="H326">
        <f t="shared" si="216"/>
        <v>-3.139934501894325</v>
      </c>
      <c r="J326">
        <f t="shared" si="217"/>
        <v>15</v>
      </c>
      <c r="M326">
        <f t="shared" si="218"/>
        <v>6.0241056391960989E-3</v>
      </c>
      <c r="N326">
        <f t="shared" si="219"/>
        <v>-1.5707963250000001</v>
      </c>
      <c r="O326">
        <f t="shared" si="220"/>
        <v>165.93942367398054</v>
      </c>
      <c r="P326">
        <f t="shared" si="221"/>
        <v>1.5647699948319158</v>
      </c>
      <c r="Q326">
        <f t="shared" si="222"/>
        <v>229.90643820913664</v>
      </c>
      <c r="R326">
        <f t="shared" si="223"/>
        <v>1.5664467176191821</v>
      </c>
      <c r="S326">
        <f t="shared" si="224"/>
        <v>4.7791331026282857E-2</v>
      </c>
      <c r="T326">
        <f t="shared" si="225"/>
        <v>-1.5229867843877938</v>
      </c>
      <c r="U326">
        <f t="shared" si="226"/>
        <v>0.99800190476957551</v>
      </c>
      <c r="V326">
        <f t="shared" si="227"/>
        <v>-6.322595958335335E-2</v>
      </c>
      <c r="X326">
        <f t="shared" si="244"/>
        <v>-20.627804125516143</v>
      </c>
      <c r="Y326">
        <f t="shared" si="228"/>
        <v>-93.027160971871155</v>
      </c>
      <c r="Z326">
        <f t="shared" si="245"/>
        <v>86.972839028128845</v>
      </c>
      <c r="AC326">
        <v>1</v>
      </c>
      <c r="AD326">
        <f t="shared" si="229"/>
        <v>165.93641049888001</v>
      </c>
      <c r="AE326">
        <f t="shared" si="230"/>
        <v>-5.8386116050154399E-4</v>
      </c>
      <c r="AF326">
        <f t="shared" si="231"/>
        <v>9.2222080559280009E-3</v>
      </c>
      <c r="AG326">
        <f t="shared" si="246"/>
        <v>17914.462662525009</v>
      </c>
      <c r="AH326">
        <f t="shared" si="247"/>
        <v>-1242.6046875549798</v>
      </c>
      <c r="AJ326">
        <f t="shared" si="232"/>
        <v>18000</v>
      </c>
      <c r="AK326">
        <f t="shared" si="233"/>
        <v>376206.97647455998</v>
      </c>
      <c r="AL326">
        <v>1</v>
      </c>
      <c r="AM326">
        <f t="shared" si="234"/>
        <v>229.90426340111998</v>
      </c>
      <c r="AN326">
        <f t="shared" si="248"/>
        <v>1636.673219683707</v>
      </c>
      <c r="AO326">
        <f t="shared" si="249"/>
        <v>-71.174525162096572</v>
      </c>
      <c r="AQ326">
        <f t="shared" si="235"/>
        <v>7.971932420334487E-3</v>
      </c>
      <c r="AR326">
        <f t="shared" si="236"/>
        <v>-8.9285643107746253</v>
      </c>
      <c r="AT326">
        <f t="shared" si="261"/>
        <v>-10951.862980012393</v>
      </c>
      <c r="AU326">
        <f t="shared" si="262"/>
        <v>-159960.33793591976</v>
      </c>
      <c r="AV326">
        <f t="shared" si="250"/>
        <v>-1.6391557614356336</v>
      </c>
      <c r="AW326">
        <f t="shared" si="251"/>
        <v>41258.452168363787</v>
      </c>
      <c r="AX326">
        <f t="shared" si="252"/>
        <v>-18455.037533296789</v>
      </c>
      <c r="AY326">
        <f t="shared" si="260"/>
        <v>-0.42060900020469361</v>
      </c>
      <c r="BA326">
        <f t="shared" si="237"/>
        <v>3.547396872043274</v>
      </c>
      <c r="BB326">
        <f t="shared" si="253"/>
        <v>10.998195574888728</v>
      </c>
      <c r="BC326">
        <f t="shared" si="254"/>
        <v>-1.21854676123094</v>
      </c>
      <c r="BD326">
        <f t="shared" si="238"/>
        <v>-249.81758663764674</v>
      </c>
      <c r="BF326">
        <f t="shared" si="239"/>
        <v>-30.427084271555657</v>
      </c>
      <c r="BG326">
        <f t="shared" si="240"/>
        <v>-161.36695443553373</v>
      </c>
      <c r="BH326">
        <f t="shared" si="255"/>
        <v>18.633045564466272</v>
      </c>
      <c r="BI326">
        <f t="shared" si="256"/>
        <v>18.633045564466272</v>
      </c>
      <c r="BJ326">
        <f t="shared" si="241"/>
        <v>0</v>
      </c>
      <c r="BK326">
        <f t="shared" si="257"/>
        <v>0</v>
      </c>
      <c r="BM326">
        <f t="shared" si="258"/>
        <v>-41.425279846444383</v>
      </c>
      <c r="BN326">
        <f t="shared" si="242"/>
        <v>-91.549367797886973</v>
      </c>
      <c r="BQ326" s="66">
        <f t="shared" si="259"/>
        <v>27.900156375173864</v>
      </c>
      <c r="BR326" s="71"/>
      <c r="BS326" s="71"/>
      <c r="BT326" s="71">
        <v>144543.97700000001</v>
      </c>
      <c r="BU326" s="71">
        <v>9.7312899999999996</v>
      </c>
      <c r="BV326" s="71">
        <v>-134.75200000000001</v>
      </c>
      <c r="BY326" s="71"/>
      <c r="BZ326" s="71"/>
      <c r="CA326" s="71"/>
      <c r="CC326" s="71"/>
    </row>
    <row r="327" spans="1:81" x14ac:dyDescent="0.2">
      <c r="A327">
        <f t="shared" si="263"/>
        <v>565000</v>
      </c>
      <c r="B327">
        <f t="shared" si="243"/>
        <v>565</v>
      </c>
      <c r="C327">
        <f t="shared" si="212"/>
        <v>35.159220873213606</v>
      </c>
      <c r="D327">
        <f t="shared" si="213"/>
        <v>1.5423504497471909</v>
      </c>
      <c r="F327">
        <f t="shared" si="214"/>
        <v>1.5949307075166862E-5</v>
      </c>
      <c r="G327">
        <f t="shared" si="215"/>
        <v>1.6434737810242849E-3</v>
      </c>
      <c r="H327">
        <f t="shared" si="216"/>
        <v>-3.139949176218976</v>
      </c>
      <c r="J327">
        <f t="shared" si="217"/>
        <v>15</v>
      </c>
      <c r="M327">
        <f t="shared" si="218"/>
        <v>5.9707949698226811E-3</v>
      </c>
      <c r="N327">
        <f t="shared" si="219"/>
        <v>-1.5707963250000001</v>
      </c>
      <c r="O327">
        <f t="shared" si="220"/>
        <v>167.42097210293198</v>
      </c>
      <c r="P327">
        <f t="shared" si="221"/>
        <v>1.5648233239291796</v>
      </c>
      <c r="Q327">
        <f t="shared" si="222"/>
        <v>231.95913560073765</v>
      </c>
      <c r="R327">
        <f t="shared" si="223"/>
        <v>1.5664852092567179</v>
      </c>
      <c r="S327">
        <f t="shared" si="224"/>
        <v>4.736935211891783E-2</v>
      </c>
      <c r="T327">
        <f t="shared" si="225"/>
        <v>-1.5234092417675593</v>
      </c>
      <c r="U327">
        <f t="shared" si="226"/>
        <v>0.9979661744743169</v>
      </c>
      <c r="V327">
        <f t="shared" si="227"/>
        <v>-6.3788953707394083E-2</v>
      </c>
      <c r="X327">
        <f t="shared" si="244"/>
        <v>-20.705218266167279</v>
      </c>
      <c r="Y327">
        <f t="shared" si="228"/>
        <v>-93.064658932453071</v>
      </c>
      <c r="Z327">
        <f t="shared" si="245"/>
        <v>86.935341067546929</v>
      </c>
      <c r="AC327">
        <v>1</v>
      </c>
      <c r="AD327">
        <f t="shared" si="229"/>
        <v>167.41798559262003</v>
      </c>
      <c r="AE327">
        <f t="shared" si="230"/>
        <v>-5.9433379770760652E-4</v>
      </c>
      <c r="AF327">
        <f t="shared" si="231"/>
        <v>9.3045491992845009E-3</v>
      </c>
      <c r="AG327">
        <f t="shared" si="246"/>
        <v>17913.179944367665</v>
      </c>
      <c r="AH327">
        <f t="shared" si="247"/>
        <v>-1251.6896859711753</v>
      </c>
      <c r="AJ327">
        <f t="shared" si="232"/>
        <v>18000</v>
      </c>
      <c r="AK327">
        <f t="shared" si="233"/>
        <v>379565.96733593999</v>
      </c>
      <c r="AL327">
        <v>1</v>
      </c>
      <c r="AM327">
        <f t="shared" si="234"/>
        <v>231.95698003863001</v>
      </c>
      <c r="AN327">
        <f t="shared" si="248"/>
        <v>1636.6677646792104</v>
      </c>
      <c r="AO327">
        <f t="shared" si="249"/>
        <v>-70.544685624875981</v>
      </c>
      <c r="AQ327">
        <f t="shared" si="235"/>
        <v>7.8314607005554853E-3</v>
      </c>
      <c r="AR327">
        <f t="shared" si="236"/>
        <v>-8.8495505916276986</v>
      </c>
      <c r="AT327">
        <f t="shared" si="261"/>
        <v>-10936.604836264209</v>
      </c>
      <c r="AU327">
        <f t="shared" si="262"/>
        <v>-158533.39473319729</v>
      </c>
      <c r="AV327">
        <f t="shared" si="250"/>
        <v>-1.6396733278468119</v>
      </c>
      <c r="AW327">
        <f t="shared" si="251"/>
        <v>41266.56153745464</v>
      </c>
      <c r="AX327">
        <f t="shared" si="252"/>
        <v>-18336.774767063827</v>
      </c>
      <c r="AY327">
        <f t="shared" si="260"/>
        <v>-0.41814501861512132</v>
      </c>
      <c r="BA327">
        <f t="shared" si="237"/>
        <v>3.5190496648050864</v>
      </c>
      <c r="BB327">
        <f t="shared" si="253"/>
        <v>10.928507922657735</v>
      </c>
      <c r="BC327">
        <f t="shared" si="254"/>
        <v>-1.2215283092316906</v>
      </c>
      <c r="BD327">
        <f t="shared" si="238"/>
        <v>-249.98841675470061</v>
      </c>
      <c r="BF327">
        <f t="shared" si="239"/>
        <v>-30.574045651321597</v>
      </c>
      <c r="BG327">
        <f t="shared" si="240"/>
        <v>-161.52408124160385</v>
      </c>
      <c r="BH327">
        <f t="shared" si="255"/>
        <v>18.475918758396148</v>
      </c>
      <c r="BI327">
        <f t="shared" si="256"/>
        <v>18.475918758396148</v>
      </c>
      <c r="BJ327">
        <f t="shared" si="241"/>
        <v>0</v>
      </c>
      <c r="BK327">
        <f t="shared" si="257"/>
        <v>0</v>
      </c>
      <c r="BM327">
        <f t="shared" si="258"/>
        <v>-41.502553573979327</v>
      </c>
      <c r="BN327">
        <f t="shared" si="242"/>
        <v>-91.535664486903258</v>
      </c>
      <c r="BQ327" s="66">
        <f t="shared" si="259"/>
        <v>27.830468722942872</v>
      </c>
      <c r="BR327" s="71"/>
      <c r="BS327" s="71"/>
      <c r="BT327" s="71">
        <v>147910.83900000001</v>
      </c>
      <c r="BU327" s="71">
        <v>9.9010099999999994</v>
      </c>
      <c r="BV327" s="71">
        <v>-135.72399999999999</v>
      </c>
      <c r="BY327" s="71"/>
      <c r="BZ327" s="71"/>
      <c r="CA327" s="71"/>
      <c r="CC327" s="71"/>
    </row>
    <row r="328" spans="1:81" x14ac:dyDescent="0.2">
      <c r="A328">
        <f t="shared" si="263"/>
        <v>570000</v>
      </c>
      <c r="B328">
        <f t="shared" si="243"/>
        <v>570</v>
      </c>
      <c r="C328">
        <f t="shared" si="212"/>
        <v>35.470113824346541</v>
      </c>
      <c r="D328">
        <f t="shared" si="213"/>
        <v>1.5425998421655525</v>
      </c>
      <c r="F328">
        <f t="shared" si="214"/>
        <v>1.5670717884765506E-5</v>
      </c>
      <c r="G328">
        <f t="shared" si="215"/>
        <v>1.6290569122902766E-3</v>
      </c>
      <c r="H328">
        <f t="shared" si="216"/>
        <v>-3.1399635930877099</v>
      </c>
      <c r="J328">
        <f t="shared" si="217"/>
        <v>15</v>
      </c>
      <c r="M328">
        <f t="shared" si="218"/>
        <v>5.9184195753505531E-3</v>
      </c>
      <c r="N328">
        <f t="shared" si="219"/>
        <v>-1.5707963250000001</v>
      </c>
      <c r="O328">
        <f t="shared" si="220"/>
        <v>168.90252099967427</v>
      </c>
      <c r="P328">
        <f t="shared" si="221"/>
        <v>1.5648757174613332</v>
      </c>
      <c r="Q328">
        <f t="shared" si="222"/>
        <v>234.01183332998153</v>
      </c>
      <c r="R328">
        <f t="shared" si="223"/>
        <v>1.5665230256148084</v>
      </c>
      <c r="S328">
        <f t="shared" si="224"/>
        <v>4.6954751649477072E-2</v>
      </c>
      <c r="T328">
        <f t="shared" si="225"/>
        <v>-1.5238243041000559</v>
      </c>
      <c r="U328">
        <f t="shared" si="226"/>
        <v>0.99793013046510293</v>
      </c>
      <c r="V328">
        <f t="shared" si="227"/>
        <v>-6.4351907342017151E-2</v>
      </c>
      <c r="X328">
        <f t="shared" si="244"/>
        <v>-20.781957641025986</v>
      </c>
      <c r="Y328">
        <f t="shared" si="228"/>
        <v>-93.102063366444412</v>
      </c>
      <c r="Z328">
        <f t="shared" si="245"/>
        <v>86.897936633555588</v>
      </c>
      <c r="AC328">
        <v>1</v>
      </c>
      <c r="AD328">
        <f t="shared" si="229"/>
        <v>168.89956068636002</v>
      </c>
      <c r="AE328">
        <f t="shared" si="230"/>
        <v>-6.0489952502216734E-4</v>
      </c>
      <c r="AF328">
        <f t="shared" si="231"/>
        <v>9.3868903426410008E-3</v>
      </c>
      <c r="AG328">
        <f t="shared" si="246"/>
        <v>17911.886010405517</v>
      </c>
      <c r="AH328">
        <f t="shared" si="247"/>
        <v>-1260.7893464126435</v>
      </c>
      <c r="AJ328">
        <f t="shared" si="232"/>
        <v>18000</v>
      </c>
      <c r="AK328">
        <f t="shared" si="233"/>
        <v>382924.95819732</v>
      </c>
      <c r="AL328">
        <v>1</v>
      </c>
      <c r="AM328">
        <f t="shared" si="234"/>
        <v>234.00969667614001</v>
      </c>
      <c r="AN328">
        <f t="shared" si="248"/>
        <v>1636.6624525934192</v>
      </c>
      <c r="AO328">
        <f t="shared" si="249"/>
        <v>-69.925895293359503</v>
      </c>
      <c r="AQ328">
        <f t="shared" si="235"/>
        <v>7.6946693639047678E-3</v>
      </c>
      <c r="AR328">
        <f t="shared" si="236"/>
        <v>-8.7719230748514345</v>
      </c>
      <c r="AT328">
        <f t="shared" si="261"/>
        <v>-10921.721119789903</v>
      </c>
      <c r="AU328">
        <f t="shared" si="262"/>
        <v>-157131.38756594295</v>
      </c>
      <c r="AV328">
        <f t="shared" si="250"/>
        <v>-1.6401916507130112</v>
      </c>
      <c r="AW328">
        <f t="shared" si="251"/>
        <v>41274.357750390845</v>
      </c>
      <c r="AX328">
        <f t="shared" si="252"/>
        <v>-18220.979303199456</v>
      </c>
      <c r="AY328">
        <f t="shared" si="260"/>
        <v>-0.41572943333491025</v>
      </c>
      <c r="BA328">
        <f t="shared" si="237"/>
        <v>3.4911279770095818</v>
      </c>
      <c r="BB328">
        <f t="shared" si="253"/>
        <v>10.859315387571717</v>
      </c>
      <c r="BC328">
        <f t="shared" si="254"/>
        <v>-1.224462217378101</v>
      </c>
      <c r="BD328">
        <f t="shared" si="238"/>
        <v>-250.15651730916107</v>
      </c>
      <c r="BF328">
        <f t="shared" si="239"/>
        <v>-30.719829944448907</v>
      </c>
      <c r="BG328">
        <f t="shared" si="240"/>
        <v>-161.67871868876648</v>
      </c>
      <c r="BH328">
        <f t="shared" si="255"/>
        <v>18.32128131123352</v>
      </c>
      <c r="BI328">
        <f t="shared" si="256"/>
        <v>18.32128131123352</v>
      </c>
      <c r="BJ328">
        <f t="shared" si="241"/>
        <v>0</v>
      </c>
      <c r="BK328">
        <f t="shared" si="257"/>
        <v>0</v>
      </c>
      <c r="BM328">
        <f t="shared" si="258"/>
        <v>-41.57914533202063</v>
      </c>
      <c r="BN328">
        <f t="shared" si="242"/>
        <v>-91.522201379605434</v>
      </c>
      <c r="BQ328" s="66">
        <f t="shared" si="259"/>
        <v>27.761276187856851</v>
      </c>
      <c r="BR328" s="71"/>
      <c r="BS328" s="71"/>
      <c r="BT328" s="71">
        <v>151356.125</v>
      </c>
      <c r="BU328" s="71">
        <v>10.0764</v>
      </c>
      <c r="BV328" s="71">
        <v>-136.34200000000001</v>
      </c>
      <c r="BY328" s="71"/>
      <c r="BZ328" s="71"/>
      <c r="CA328" s="71"/>
      <c r="CC328" s="71"/>
    </row>
    <row r="329" spans="1:81" x14ac:dyDescent="0.2">
      <c r="A329">
        <f t="shared" si="263"/>
        <v>575000</v>
      </c>
      <c r="B329">
        <f t="shared" si="243"/>
        <v>575</v>
      </c>
      <c r="C329">
        <f t="shared" ref="C329:C392" si="264">SQRT((A329/Fesr)^2+1)</f>
        <v>35.781008943262187</v>
      </c>
      <c r="D329">
        <f t="shared" ref="D329:D392" si="265">ATAN(A329/Fesr)</f>
        <v>1.5428449007420744</v>
      </c>
      <c r="F329">
        <f t="shared" ref="F329:F392" si="266">(Ro/(Ro+Rdcr))/SQRT((A329/(Q*Fo))^2+(1-(A329^2/Fo^2))^2)</f>
        <v>1.5399364731899379E-5</v>
      </c>
      <c r="G329">
        <f t="shared" ref="G329:G392" si="267">-ATAN(A329*Fo/(Q*(Fo^2-A329^2)))</f>
        <v>1.6148907828327976E-3</v>
      </c>
      <c r="H329">
        <f t="shared" ref="H329:H392" si="268">IF(G329&gt;0,G329-Pi,G329)</f>
        <v>-3.1399777592171674</v>
      </c>
      <c r="J329">
        <f t="shared" ref="J329:J392" si="269">Vin/Vramp</f>
        <v>15</v>
      </c>
      <c r="M329">
        <f t="shared" ref="M329:M392" si="270">1/(2*Pi*_Rfb1*(Cc1ea_u+Cc2ea_u)*A329)</f>
        <v>5.8669550573040262E-3</v>
      </c>
      <c r="N329">
        <f t="shared" ref="N329:N392" si="271">-Pi/2</f>
        <v>-1.5707963250000001</v>
      </c>
      <c r="O329">
        <f t="shared" ref="O329:O392" si="272">SQRT(1+(A329/Fz1_u)^2)</f>
        <v>170.38407035200467</v>
      </c>
      <c r="P329">
        <f t="shared" ref="P329:P392" si="273">ATAN2(Fz1_u,A329)</f>
        <v>1.5649271998332877</v>
      </c>
      <c r="Q329">
        <f t="shared" ref="Q329:Q392" si="274">SQRT(1+(A329/Fz2_u)^2)</f>
        <v>236.06453138806035</v>
      </c>
      <c r="R329">
        <f t="shared" ref="R329:R392" si="275">ATAN2(Fz2_u,A329)</f>
        <v>1.5665601843090118</v>
      </c>
      <c r="S329">
        <f t="shared" ref="S329:S392" si="276">1/SQRT(1+(A329/Fp1_u)^2)</f>
        <v>4.6547337982627765E-2</v>
      </c>
      <c r="T329">
        <f t="shared" ref="T329:T392" si="277">-ATAN2(Fp1_u,A329)</f>
        <v>-1.5242321637348468</v>
      </c>
      <c r="U329">
        <f t="shared" ref="U329:U392" si="278">1/SQRT(1+(A329/Fp2_u)^2)</f>
        <v>0.99789377284445813</v>
      </c>
      <c r="V329">
        <f t="shared" ref="V329:V392" si="279">-ATAN2(Fp2_u,A329)</f>
        <v>-6.4914820134810092E-2</v>
      </c>
      <c r="X329">
        <f t="shared" si="244"/>
        <v>-20.858034036937386</v>
      </c>
      <c r="Y329">
        <f t="shared" ref="Y329:Y392" si="280">(180/Pi)*(D329+H329+N329+P329+R329+T329+V329)</f>
        <v>-93.139376607734633</v>
      </c>
      <c r="Z329">
        <f t="shared" si="245"/>
        <v>86.860623392265367</v>
      </c>
      <c r="AC329">
        <v>1</v>
      </c>
      <c r="AD329">
        <f t="shared" ref="AD329:AD392" si="281">Rcea1_u*Cc1ea_u*A329*2*Pi</f>
        <v>170.38113578010001</v>
      </c>
      <c r="AE329">
        <f t="shared" ref="AE329:AE392" si="282">-Rcea1_u*Cc1ea_u*Cc2ea_u*(A329*2*Pi)^2</f>
        <v>-6.1555834244522646E-4</v>
      </c>
      <c r="AF329">
        <f t="shared" ref="AF329:AF392" si="283">(Cc2ea_u+Cc1ea_u)*A329*2*Pi</f>
        <v>9.469231485997499E-3</v>
      </c>
      <c r="AG329">
        <f t="shared" si="246"/>
        <v>17910.580865539141</v>
      </c>
      <c r="AH329">
        <f t="shared" si="247"/>
        <v>-1269.903211005485</v>
      </c>
      <c r="AJ329">
        <f t="shared" ref="AJ329:AJ392" si="284">_Rfb1</f>
        <v>18000</v>
      </c>
      <c r="AK329">
        <f t="shared" ref="AK329:AK392" si="285">_Rfb1*Rcea2_u*Cc3ea_u*A329*2*Pi</f>
        <v>386283.9490587</v>
      </c>
      <c r="AL329">
        <v>1</v>
      </c>
      <c r="AM329">
        <f t="shared" ref="AM329:AM392" si="286">(_Rfb1+Rcea2_u)*Cc3ea_u*A329*2*Pi</f>
        <v>236.06241331364998</v>
      </c>
      <c r="AN329">
        <f t="shared" si="248"/>
        <v>1636.6572784770731</v>
      </c>
      <c r="AO329">
        <f t="shared" si="249"/>
        <v>-69.317865948364187</v>
      </c>
      <c r="AQ329">
        <f t="shared" ref="AQ329:AQ392" si="287">Eadcg/(1+(Eadcg*A329/GBP)^2)</f>
        <v>7.5614309554397309E-3</v>
      </c>
      <c r="AR329">
        <f t="shared" ref="AR329:AR392" si="288">-(A329*Eadcg*Eadcg/GBP)/(1+(Eadcg*A329/GBP)^2)</f>
        <v>-8.6956455987556911</v>
      </c>
      <c r="AT329">
        <f t="shared" si="261"/>
        <v>-10907.198647038971</v>
      </c>
      <c r="AU329">
        <f t="shared" si="262"/>
        <v>-155753.66596003345</v>
      </c>
      <c r="AV329">
        <f t="shared" si="250"/>
        <v>-1.6407107088930961</v>
      </c>
      <c r="AW329">
        <f t="shared" si="251"/>
        <v>41281.850790095443</v>
      </c>
      <c r="AX329">
        <f t="shared" si="252"/>
        <v>-18107.586556154562</v>
      </c>
      <c r="AY329">
        <f t="shared" si="260"/>
        <v>-0.41336111425686051</v>
      </c>
      <c r="BA329">
        <f t="shared" ref="BA329:BA392" si="289">SQRT(AT329^2+AU329^2)/SQRT(AW329^2+AX329^2)</f>
        <v>3.4636228918792251</v>
      </c>
      <c r="BB329">
        <f t="shared" si="253"/>
        <v>10.790612026656119</v>
      </c>
      <c r="BC329">
        <f t="shared" si="254"/>
        <v>-1.2273495946362356</v>
      </c>
      <c r="BD329">
        <f t="shared" ref="BD329:BD392" si="290">BC329*180/Pi-180</f>
        <v>-250.32195184010328</v>
      </c>
      <c r="BF329">
        <f t="shared" ref="BF329:BF392" si="291">20*LOG(BA329*J329*F329*C329)</f>
        <v>-30.864455035588989</v>
      </c>
      <c r="BG329">
        <f t="shared" ref="BG329:BG392" si="292">(180/Pi)*(D329+H329+BC329)</f>
        <v>-161.83092405695535</v>
      </c>
      <c r="BH329">
        <f t="shared" si="255"/>
        <v>18.169075943044646</v>
      </c>
      <c r="BI329">
        <f t="shared" si="256"/>
        <v>18.169075943044646</v>
      </c>
      <c r="BJ329">
        <f t="shared" ref="BJ329:BJ392" si="293">SUM((BF330&lt;0)*(BF329&gt;0))*A329</f>
        <v>0</v>
      </c>
      <c r="BK329">
        <f t="shared" si="257"/>
        <v>0</v>
      </c>
      <c r="BM329">
        <f t="shared" si="258"/>
        <v>-41.655067062245109</v>
      </c>
      <c r="BN329">
        <f t="shared" ref="BN329:BN392" si="294">(H329+D329)*180/Pi</f>
        <v>-91.508972216852086</v>
      </c>
      <c r="BQ329" s="66">
        <f t="shared" si="259"/>
        <v>27.692572826941255</v>
      </c>
      <c r="BR329" s="71"/>
      <c r="BS329" s="71"/>
      <c r="BT329" s="71">
        <v>154881.66200000001</v>
      </c>
      <c r="BU329" s="71">
        <v>10.266</v>
      </c>
      <c r="BV329" s="71">
        <v>-136.816</v>
      </c>
      <c r="BY329" s="71"/>
      <c r="BZ329" s="71"/>
      <c r="CA329" s="71"/>
      <c r="CC329" s="71"/>
    </row>
    <row r="330" spans="1:81" x14ac:dyDescent="0.2">
      <c r="A330">
        <f t="shared" si="263"/>
        <v>580000</v>
      </c>
      <c r="B330">
        <f t="shared" ref="B330:B393" si="295">A330/1000</f>
        <v>580</v>
      </c>
      <c r="C330">
        <f t="shared" si="264"/>
        <v>36.091906173940792</v>
      </c>
      <c r="D330">
        <f t="shared" si="265"/>
        <v>1.5430857374426352</v>
      </c>
      <c r="F330">
        <f t="shared" si="266"/>
        <v>1.5134999170848298E-5</v>
      </c>
      <c r="G330">
        <f t="shared" si="267"/>
        <v>1.6009689076367205E-3</v>
      </c>
      <c r="H330">
        <f t="shared" si="268"/>
        <v>-3.1399916810923636</v>
      </c>
      <c r="J330">
        <f t="shared" si="269"/>
        <v>15</v>
      </c>
      <c r="M330">
        <f t="shared" si="270"/>
        <v>5.8163778585341641E-3</v>
      </c>
      <c r="N330">
        <f t="shared" si="271"/>
        <v>-1.5707963250000001</v>
      </c>
      <c r="O330">
        <f t="shared" si="272"/>
        <v>171.86562014814112</v>
      </c>
      <c r="P330">
        <f t="shared" si="273"/>
        <v>1.5649777946084529</v>
      </c>
      <c r="Q330">
        <f t="shared" si="274"/>
        <v>238.1172297664699</v>
      </c>
      <c r="R330">
        <f t="shared" si="275"/>
        <v>1.5665967023474721</v>
      </c>
      <c r="S330">
        <f t="shared" si="276"/>
        <v>4.6146926055288459E-2</v>
      </c>
      <c r="T330">
        <f t="shared" si="277"/>
        <v>-1.5246330064127154</v>
      </c>
      <c r="U330">
        <f t="shared" si="278"/>
        <v>0.99785710171577935</v>
      </c>
      <c r="V330">
        <f t="shared" si="279"/>
        <v>-6.5477691733515045E-2</v>
      </c>
      <c r="X330">
        <f t="shared" ref="X330:X393" si="296">20*LOG(C330*J330*O330*Q330*F330*M330*S330*U330)</f>
        <v>-20.933458936164008</v>
      </c>
      <c r="Y330">
        <f t="shared" si="280"/>
        <v>-93.176600910116747</v>
      </c>
      <c r="Z330">
        <f t="shared" ref="Z330:Z393" si="297">Y330+180</f>
        <v>86.823399089883253</v>
      </c>
      <c r="AC330">
        <v>1</v>
      </c>
      <c r="AD330">
        <f t="shared" si="281"/>
        <v>171.86271087384003</v>
      </c>
      <c r="AE330">
        <f t="shared" si="282"/>
        <v>-6.2631024997678389E-4</v>
      </c>
      <c r="AF330">
        <f t="shared" si="283"/>
        <v>9.5515726293540007E-3</v>
      </c>
      <c r="AG330">
        <f t="shared" ref="AG330:AG359" si="298">AC330*AE330/(AE330^2+AF330^2)+AD330*AF330/(AE330^2+AF330^2)</f>
        <v>17909.264514710489</v>
      </c>
      <c r="AH330">
        <f t="shared" ref="AH330:AH359" si="299">AD330*AE330/(AE330^2+AF330^2)-AC330*AF330/(AE330^2+AF330^2)</f>
        <v>-1279.0308370334747</v>
      </c>
      <c r="AJ330">
        <f t="shared" si="284"/>
        <v>18000</v>
      </c>
      <c r="AK330">
        <f t="shared" si="285"/>
        <v>389642.93992007995</v>
      </c>
      <c r="AL330">
        <v>1</v>
      </c>
      <c r="AM330">
        <f t="shared" si="286"/>
        <v>238.11512995116001</v>
      </c>
      <c r="AN330">
        <f t="shared" ref="AN330:AN359" si="300">AJ330*AL330/(AL330^2+AM330^2)+AK330*AM330/(AL330^2+AM330^2)</f>
        <v>1636.6522375933121</v>
      </c>
      <c r="AO330">
        <f t="shared" ref="AO330:AO359" si="301">AK330*AL330/(AL330^2+AM330^2)-AJ330*AM330/(AL330^2+AM330^2)</f>
        <v>-68.72031930840761</v>
      </c>
      <c r="AQ330">
        <f t="shared" si="287"/>
        <v>7.431623490172793E-3</v>
      </c>
      <c r="AR330">
        <f t="shared" si="288"/>
        <v>-8.6206832486004394</v>
      </c>
      <c r="AT330">
        <f t="shared" si="261"/>
        <v>-10893.024800398633</v>
      </c>
      <c r="AU330">
        <f t="shared" si="262"/>
        <v>-154399.60187233216</v>
      </c>
      <c r="AV330">
        <f t="shared" ref="AV330:AV393" si="302">ATAN2(AT330,AU330)</f>
        <v>-1.6412304819628907</v>
      </c>
      <c r="AW330">
        <f t="shared" ref="AW330:AW393" si="303">AG330-AH330*AO330/_Rfb2+AG330*AN330/_Rfb2+AN330-AO330*AR330+AQ330*AN330</f>
        <v>41289.050211640882</v>
      </c>
      <c r="AX330">
        <f t="shared" ref="AX330:AX393" si="304">AH330+AH330*AN330/_Rfb2+AG330*AO330/_Rfb2+AO330+AO330*AQ330+AN330*AR330</f>
        <v>-17996.53416825318</v>
      </c>
      <c r="AY330">
        <f t="shared" si="260"/>
        <v>-0.41103896515582911</v>
      </c>
      <c r="BA330">
        <f t="shared" si="289"/>
        <v>3.4365257198735808</v>
      </c>
      <c r="BB330">
        <f t="shared" ref="BB330:BB393" si="305">20*LOG(BA330)</f>
        <v>10.722391972655812</v>
      </c>
      <c r="BC330">
        <f t="shared" ref="BC330:BC393" si="306">AV330-AY330</f>
        <v>-1.2301915168070616</v>
      </c>
      <c r="BD330">
        <f t="shared" si="290"/>
        <v>-250.4847819863823</v>
      </c>
      <c r="BF330">
        <f t="shared" si="291"/>
        <v>-31.007938422491648</v>
      </c>
      <c r="BG330">
        <f t="shared" si="292"/>
        <v>-161.98075294141719</v>
      </c>
      <c r="BH330">
        <f t="shared" ref="BH330:BH393" si="307">IF(BG330&gt;180,BG330-180,BG330+180)</f>
        <v>18.019247058582806</v>
      </c>
      <c r="BI330">
        <f t="shared" ref="BI330:BI393" si="308">IF(BH330&gt;180,BH330-360,BH330)</f>
        <v>18.019247058582806</v>
      </c>
      <c r="BJ330">
        <f t="shared" si="293"/>
        <v>0</v>
      </c>
      <c r="BK330">
        <f t="shared" ref="BK330:BK393" si="309">IF(BJ330&gt;0,BI330,0)</f>
        <v>0</v>
      </c>
      <c r="BM330">
        <f t="shared" ref="BM330:BM393" si="310">20*LOG(J330*F330*C330)</f>
        <v>-41.730330395147462</v>
      </c>
      <c r="BN330">
        <f t="shared" si="294"/>
        <v>-91.495970955034892</v>
      </c>
      <c r="BQ330" s="66">
        <f t="shared" ref="BQ330:BQ393" si="311">20*LOG(BA330*7)</f>
        <v>27.624352772940949</v>
      </c>
      <c r="BR330" s="71"/>
      <c r="BS330" s="71"/>
      <c r="BT330" s="71">
        <v>158489.31899999999</v>
      </c>
      <c r="BU330" s="71">
        <v>10.4788</v>
      </c>
      <c r="BV330" s="71">
        <v>-137.47</v>
      </c>
      <c r="BY330" s="71"/>
      <c r="BZ330" s="71"/>
      <c r="CA330" s="71"/>
      <c r="CC330" s="71"/>
    </row>
    <row r="331" spans="1:81" x14ac:dyDescent="0.2">
      <c r="A331">
        <f t="shared" si="263"/>
        <v>585000</v>
      </c>
      <c r="B331">
        <f t="shared" si="295"/>
        <v>585</v>
      </c>
      <c r="C331">
        <f t="shared" si="264"/>
        <v>36.402805462275978</v>
      </c>
      <c r="D331">
        <f t="shared" si="265"/>
        <v>1.5433224604101203</v>
      </c>
      <c r="F331">
        <f t="shared" si="266"/>
        <v>1.4877383327953584E-5</v>
      </c>
      <c r="G331">
        <f t="shared" si="267"/>
        <v>1.5872850234128117E-3</v>
      </c>
      <c r="H331">
        <f t="shared" si="268"/>
        <v>-3.1400053649765876</v>
      </c>
      <c r="J331">
        <f t="shared" si="269"/>
        <v>15</v>
      </c>
      <c r="M331">
        <f t="shared" si="270"/>
        <v>5.7666652272646418E-3</v>
      </c>
      <c r="N331">
        <f t="shared" si="271"/>
        <v>-1.5707963250000001</v>
      </c>
      <c r="O331">
        <f t="shared" si="272"/>
        <v>173.34717037670433</v>
      </c>
      <c r="P331">
        <f t="shared" si="273"/>
        <v>1.5650275245446976</v>
      </c>
      <c r="Q331">
        <f t="shared" si="274"/>
        <v>240.16992845699676</v>
      </c>
      <c r="R331">
        <f t="shared" si="275"/>
        <v>1.5666325961568746</v>
      </c>
      <c r="S331">
        <f t="shared" si="276"/>
        <v>4.5753337097572441E-2</v>
      </c>
      <c r="T331">
        <f t="shared" si="277"/>
        <v>-1.5250270115468831</v>
      </c>
      <c r="U331">
        <f t="shared" si="278"/>
        <v>0.99782011718333352</v>
      </c>
      <c r="V331">
        <f t="shared" si="279"/>
        <v>-6.604052178603019E-2</v>
      </c>
      <c r="X331">
        <f t="shared" si="296"/>
        <v>-21.008243526776418</v>
      </c>
      <c r="Y331">
        <f t="shared" si="280"/>
        <v>-93.213738450656706</v>
      </c>
      <c r="Z331">
        <f t="shared" si="297"/>
        <v>86.786261549343294</v>
      </c>
      <c r="AC331">
        <v>1</v>
      </c>
      <c r="AD331">
        <f t="shared" si="281"/>
        <v>173.34428596758002</v>
      </c>
      <c r="AE331">
        <f t="shared" si="282"/>
        <v>-6.3715524761683972E-4</v>
      </c>
      <c r="AF331">
        <f t="shared" si="283"/>
        <v>9.6339137727105006E-3</v>
      </c>
      <c r="AG331">
        <f t="shared" si="298"/>
        <v>17907.936962902848</v>
      </c>
      <c r="AH331">
        <f t="shared" si="299"/>
        <v>-1288.1717962910031</v>
      </c>
      <c r="AJ331">
        <f t="shared" si="284"/>
        <v>18000</v>
      </c>
      <c r="AK331">
        <f t="shared" si="285"/>
        <v>393001.93078145996</v>
      </c>
      <c r="AL331">
        <v>1</v>
      </c>
      <c r="AM331">
        <f t="shared" si="286"/>
        <v>240.16784658866996</v>
      </c>
      <c r="AN331">
        <f t="shared" si="300"/>
        <v>1636.6473254068319</v>
      </c>
      <c r="AO331">
        <f t="shared" si="301"/>
        <v>-68.132986605065057</v>
      </c>
      <c r="AQ331">
        <f t="shared" si="287"/>
        <v>7.3051301737671317E-3</v>
      </c>
      <c r="AR331">
        <f t="shared" si="288"/>
        <v>-8.5470023033075435</v>
      </c>
      <c r="AT331">
        <f t="shared" si="261"/>
        <v>-10879.187499297397</v>
      </c>
      <c r="AU331">
        <f t="shared" si="262"/>
        <v>-153068.58873207503</v>
      </c>
      <c r="AV331">
        <f t="shared" si="302"/>
        <v>-1.6417509501845482</v>
      </c>
      <c r="AW331">
        <f t="shared" si="303"/>
        <v>41295.965164099296</v>
      </c>
      <c r="AX331">
        <f t="shared" si="304"/>
        <v>-17887.761914374303</v>
      </c>
      <c r="AY331">
        <f t="shared" ref="AY331:AY394" si="312">ATAN2(AW331,AX331)</f>
        <v>-0.40876192246535842</v>
      </c>
      <c r="BA331">
        <f t="shared" si="289"/>
        <v>3.4098279923898831</v>
      </c>
      <c r="BB331">
        <f t="shared" si="305"/>
        <v>10.654649434160541</v>
      </c>
      <c r="BC331">
        <f t="shared" si="306"/>
        <v>-1.2329890277191897</v>
      </c>
      <c r="BD331">
        <f t="shared" si="290"/>
        <v>-250.6450675549722</v>
      </c>
      <c r="BF331">
        <f t="shared" si="291"/>
        <v>-31.150297226606639</v>
      </c>
      <c r="BG331">
        <f t="shared" si="292"/>
        <v>-162.12825931185515</v>
      </c>
      <c r="BH331">
        <f t="shared" si="307"/>
        <v>17.871740688144854</v>
      </c>
      <c r="BI331">
        <f t="shared" si="308"/>
        <v>17.871740688144854</v>
      </c>
      <c r="BJ331">
        <f t="shared" si="293"/>
        <v>0</v>
      </c>
      <c r="BK331">
        <f t="shared" si="309"/>
        <v>0</v>
      </c>
      <c r="BM331">
        <f t="shared" si="310"/>
        <v>-41.804946660767179</v>
      </c>
      <c r="BN331">
        <f t="shared" si="294"/>
        <v>-91.48319175688296</v>
      </c>
      <c r="BQ331" s="66">
        <f t="shared" si="311"/>
        <v>27.556610234445678</v>
      </c>
      <c r="BR331" s="71"/>
      <c r="BS331" s="71"/>
      <c r="BT331" s="71">
        <v>162181.01</v>
      </c>
      <c r="BU331" s="71">
        <v>10.741899999999999</v>
      </c>
      <c r="BV331" s="71">
        <v>-137.46899999999999</v>
      </c>
      <c r="BY331" s="71"/>
      <c r="BZ331" s="71"/>
      <c r="CA331" s="71"/>
      <c r="CC331" s="71"/>
    </row>
    <row r="332" spans="1:81" x14ac:dyDescent="0.2">
      <c r="A332">
        <f t="shared" si="263"/>
        <v>590000</v>
      </c>
      <c r="B332">
        <f t="shared" si="295"/>
        <v>590</v>
      </c>
      <c r="C332">
        <f t="shared" si="264"/>
        <v>36.713706755993776</v>
      </c>
      <c r="D332">
        <f t="shared" si="265"/>
        <v>1.5435551741261664</v>
      </c>
      <c r="F332">
        <f t="shared" si="266"/>
        <v>1.4626289366329436E-5</v>
      </c>
      <c r="G332">
        <f t="shared" si="267"/>
        <v>1.5738330792017653E-3</v>
      </c>
      <c r="H332">
        <f t="shared" si="268"/>
        <v>-3.1400188169207985</v>
      </c>
      <c r="J332">
        <f t="shared" si="269"/>
        <v>15</v>
      </c>
      <c r="M332">
        <f t="shared" si="270"/>
        <v>5.7177951829657887E-3</v>
      </c>
      <c r="N332">
        <f t="shared" si="271"/>
        <v>-1.5707963250000001</v>
      </c>
      <c r="O332">
        <f t="shared" si="272"/>
        <v>174.82872102670078</v>
      </c>
      <c r="P332">
        <f t="shared" si="273"/>
        <v>1.5650764116284805</v>
      </c>
      <c r="Q332">
        <f t="shared" si="274"/>
        <v>242.22262745170582</v>
      </c>
      <c r="R332">
        <f t="shared" si="275"/>
        <v>1.5666678816070843</v>
      </c>
      <c r="S332">
        <f t="shared" si="276"/>
        <v>4.5366398367815003E-2</v>
      </c>
      <c r="T332">
        <f t="shared" si="277"/>
        <v>-1.5254143524899979</v>
      </c>
      <c r="U332">
        <f t="shared" si="278"/>
        <v>0.99778281935225888</v>
      </c>
      <c r="V332">
        <f t="shared" si="279"/>
        <v>-6.6603309940410915E-2</v>
      </c>
      <c r="X332">
        <f t="shared" si="296"/>
        <v>-21.082398712605102</v>
      </c>
      <c r="Y332">
        <f t="shared" si="280"/>
        <v>-93.250791332894707</v>
      </c>
      <c r="Z332">
        <f t="shared" si="297"/>
        <v>86.749208667105293</v>
      </c>
      <c r="AC332">
        <v>1</v>
      </c>
      <c r="AD332">
        <f t="shared" si="281"/>
        <v>174.82586106132001</v>
      </c>
      <c r="AE332">
        <f t="shared" si="282"/>
        <v>-6.4809333536539364E-4</v>
      </c>
      <c r="AF332">
        <f t="shared" si="283"/>
        <v>9.7162549160670006E-3</v>
      </c>
      <c r="AG332">
        <f t="shared" si="298"/>
        <v>17906.598215140792</v>
      </c>
      <c r="AH332">
        <f t="shared" si="299"/>
        <v>-1297.3256744689218</v>
      </c>
      <c r="AJ332">
        <f t="shared" si="284"/>
        <v>18000</v>
      </c>
      <c r="AK332">
        <f t="shared" si="285"/>
        <v>396360.92164284003</v>
      </c>
      <c r="AL332">
        <v>1</v>
      </c>
      <c r="AM332">
        <f t="shared" si="286"/>
        <v>242.22056322617999</v>
      </c>
      <c r="AN332">
        <f t="shared" si="300"/>
        <v>1636.6425375736744</v>
      </c>
      <c r="AO332">
        <f t="shared" si="301"/>
        <v>-67.555608179915751</v>
      </c>
      <c r="AQ332">
        <f t="shared" si="287"/>
        <v>7.1818391397305802E-3</v>
      </c>
      <c r="AR332">
        <f t="shared" si="288"/>
        <v>-8.4745701848820847</v>
      </c>
      <c r="AT332">
        <f t="shared" si="261"/>
        <v>-10865.675173015437</v>
      </c>
      <c r="AU332">
        <f t="shared" si="262"/>
        <v>-151760.04053100076</v>
      </c>
      <c r="AV332">
        <f t="shared" si="302"/>
        <v>-1.6422720944774816</v>
      </c>
      <c r="AW332">
        <f t="shared" si="303"/>
        <v>41302.604411102067</v>
      </c>
      <c r="AX332">
        <f t="shared" si="304"/>
        <v>-17781.211611486859</v>
      </c>
      <c r="AY332">
        <f t="shared" si="312"/>
        <v>-0.40652895410525164</v>
      </c>
      <c r="BA332">
        <f t="shared" si="289"/>
        <v>3.3835214556213282</v>
      </c>
      <c r="BB332">
        <f t="shared" si="305"/>
        <v>10.587378695617801</v>
      </c>
      <c r="BC332">
        <f t="shared" si="306"/>
        <v>-1.2357431403722299</v>
      </c>
      <c r="BD332">
        <f t="shared" si="290"/>
        <v>-250.80286658647529</v>
      </c>
      <c r="BF332">
        <f t="shared" si="291"/>
        <v>-31.291548203339239</v>
      </c>
      <c r="BG332">
        <f t="shared" si="292"/>
        <v>-162.27349556920919</v>
      </c>
      <c r="BH332">
        <f t="shared" si="307"/>
        <v>17.726504430790811</v>
      </c>
      <c r="BI332">
        <f t="shared" si="308"/>
        <v>17.726504430790811</v>
      </c>
      <c r="BJ332">
        <f t="shared" si="293"/>
        <v>0</v>
      </c>
      <c r="BK332">
        <f t="shared" si="309"/>
        <v>0</v>
      </c>
      <c r="BM332">
        <f t="shared" si="310"/>
        <v>-41.87892689895704</v>
      </c>
      <c r="BN332">
        <f t="shared" si="294"/>
        <v>-91.470628982733885</v>
      </c>
      <c r="BQ332" s="66">
        <f t="shared" si="311"/>
        <v>27.489339495902939</v>
      </c>
      <c r="BR332" s="71"/>
      <c r="BS332" s="71"/>
      <c r="BT332" s="71">
        <v>165958.69099999999</v>
      </c>
      <c r="BU332" s="71">
        <v>11.0235</v>
      </c>
      <c r="BV332" s="71">
        <v>-138.31200000000001</v>
      </c>
      <c r="BY332" s="71"/>
      <c r="BZ332" s="71"/>
      <c r="CA332" s="71"/>
      <c r="CC332" s="71"/>
    </row>
    <row r="333" spans="1:81" x14ac:dyDescent="0.2">
      <c r="A333">
        <f t="shared" si="263"/>
        <v>595000</v>
      </c>
      <c r="B333">
        <f t="shared" si="295"/>
        <v>595</v>
      </c>
      <c r="C333">
        <f t="shared" si="264"/>
        <v>37.024610004575656</v>
      </c>
      <c r="D333">
        <f t="shared" si="265"/>
        <v>1.5437839795647659</v>
      </c>
      <c r="F333">
        <f t="shared" si="266"/>
        <v>1.4381498981929777E-5</v>
      </c>
      <c r="G333">
        <f t="shared" si="267"/>
        <v>1.5606072274520291E-3</v>
      </c>
      <c r="H333">
        <f t="shared" si="268"/>
        <v>-3.1400320427725483</v>
      </c>
      <c r="J333">
        <f t="shared" si="269"/>
        <v>15</v>
      </c>
      <c r="M333">
        <f t="shared" si="270"/>
        <v>5.6697464839492702E-3</v>
      </c>
      <c r="N333">
        <f t="shared" si="271"/>
        <v>-1.5707963250000001</v>
      </c>
      <c r="O333">
        <f t="shared" si="272"/>
        <v>176.31027208750649</v>
      </c>
      <c r="P333">
        <f t="shared" si="273"/>
        <v>1.5651244771072603</v>
      </c>
      <c r="Q333">
        <f t="shared" si="274"/>
        <v>244.2753267429288</v>
      </c>
      <c r="R333">
        <f t="shared" si="275"/>
        <v>1.5667025740345406</v>
      </c>
      <c r="S333">
        <f t="shared" si="276"/>
        <v>4.4985942900862906E-2</v>
      </c>
      <c r="T333">
        <f t="shared" si="277"/>
        <v>-1.5257951967877261</v>
      </c>
      <c r="U333">
        <f t="shared" si="278"/>
        <v>0.99774520832856295</v>
      </c>
      <c r="V333">
        <f t="shared" si="279"/>
        <v>-6.7166055844871175E-2</v>
      </c>
      <c r="X333">
        <f t="shared" si="296"/>
        <v>-21.155935122775507</v>
      </c>
      <c r="Y333">
        <f t="shared" si="280"/>
        <v>-93.287761589887907</v>
      </c>
      <c r="Z333">
        <f t="shared" si="297"/>
        <v>86.712238410112093</v>
      </c>
      <c r="AC333">
        <v>1</v>
      </c>
      <c r="AD333">
        <f t="shared" si="281"/>
        <v>176.30743615506003</v>
      </c>
      <c r="AE333">
        <f t="shared" si="282"/>
        <v>-6.5912451322244607E-4</v>
      </c>
      <c r="AF333">
        <f t="shared" si="283"/>
        <v>9.7985960594235005E-3</v>
      </c>
      <c r="AG333">
        <f t="shared" si="298"/>
        <v>17905.24827649014</v>
      </c>
      <c r="AH333">
        <f t="shared" si="299"/>
        <v>-1306.4920705713625</v>
      </c>
      <c r="AJ333">
        <f t="shared" si="284"/>
        <v>18000</v>
      </c>
      <c r="AK333">
        <f t="shared" si="285"/>
        <v>399719.91250421997</v>
      </c>
      <c r="AL333">
        <v>1</v>
      </c>
      <c r="AM333">
        <f t="shared" si="286"/>
        <v>244.27327986368999</v>
      </c>
      <c r="AN333">
        <f t="shared" si="300"/>
        <v>1636.6378699316269</v>
      </c>
      <c r="AO333">
        <f t="shared" si="301"/>
        <v>-66.987933101809162</v>
      </c>
      <c r="AQ333">
        <f t="shared" si="287"/>
        <v>7.0616432020032469E-3</v>
      </c>
      <c r="AR333">
        <f t="shared" si="288"/>
        <v>-8.4033554103838632</v>
      </c>
      <c r="AT333">
        <f t="shared" si="261"/>
        <v>-10852.476735087619</v>
      </c>
      <c r="AU333">
        <f t="shared" si="262"/>
        <v>-150473.3909593584</v>
      </c>
      <c r="AV333">
        <f t="shared" si="302"/>
        <v>-1.6427938963907553</v>
      </c>
      <c r="AW333">
        <f t="shared" si="303"/>
        <v>41308.976350195328</v>
      </c>
      <c r="AX333">
        <f t="shared" si="304"/>
        <v>-17676.827032752142</v>
      </c>
      <c r="AY333">
        <f t="shared" si="312"/>
        <v>-0.40433905835772477</v>
      </c>
      <c r="BA333">
        <f t="shared" si="289"/>
        <v>3.3575980645722439</v>
      </c>
      <c r="BB333">
        <f t="shared" si="305"/>
        <v>10.52057411724334</v>
      </c>
      <c r="BC333">
        <f t="shared" si="306"/>
        <v>-1.2384548380330305</v>
      </c>
      <c r="BD333">
        <f t="shared" si="290"/>
        <v>-250.9582354179322</v>
      </c>
      <c r="BF333">
        <f t="shared" si="291"/>
        <v>-31.431707751972908</v>
      </c>
      <c r="BG333">
        <f t="shared" si="292"/>
        <v>-162.4165126001763</v>
      </c>
      <c r="BH333">
        <f t="shared" si="307"/>
        <v>17.583487399823696</v>
      </c>
      <c r="BI333">
        <f t="shared" si="308"/>
        <v>17.583487399823696</v>
      </c>
      <c r="BJ333">
        <f t="shared" si="293"/>
        <v>0</v>
      </c>
      <c r="BK333">
        <f t="shared" si="309"/>
        <v>0</v>
      </c>
      <c r="BM333">
        <f t="shared" si="310"/>
        <v>-41.95228186921625</v>
      </c>
      <c r="BN333">
        <f t="shared" si="294"/>
        <v>-91.458277182244117</v>
      </c>
      <c r="BQ333" s="66">
        <f t="shared" si="311"/>
        <v>27.422534917528477</v>
      </c>
      <c r="BR333" s="71"/>
      <c r="BS333" s="71"/>
      <c r="BT333" s="71">
        <v>169824.36499999999</v>
      </c>
      <c r="BU333" s="71">
        <v>11.234299999999999</v>
      </c>
      <c r="BV333" s="71">
        <v>-140.114</v>
      </c>
      <c r="BY333" s="71"/>
      <c r="BZ333" s="71"/>
      <c r="CA333" s="71"/>
      <c r="CC333" s="71"/>
    </row>
    <row r="334" spans="1:81" x14ac:dyDescent="0.2">
      <c r="A334">
        <f t="shared" si="263"/>
        <v>600000</v>
      </c>
      <c r="B334">
        <f t="shared" si="295"/>
        <v>600</v>
      </c>
      <c r="C334">
        <f t="shared" si="264"/>
        <v>37.335515159185526</v>
      </c>
      <c r="D334">
        <f t="shared" si="265"/>
        <v>1.5440089743382059</v>
      </c>
      <c r="F334">
        <f t="shared" si="266"/>
        <v>1.4142802928888876E-5</v>
      </c>
      <c r="G334">
        <f t="shared" si="267"/>
        <v>1.5476018155437812E-3</v>
      </c>
      <c r="H334">
        <f t="shared" si="268"/>
        <v>-3.1400450481844566</v>
      </c>
      <c r="J334">
        <f t="shared" si="269"/>
        <v>15</v>
      </c>
      <c r="M334">
        <f t="shared" si="270"/>
        <v>5.6224985965830252E-3</v>
      </c>
      <c r="N334">
        <f t="shared" si="271"/>
        <v>-1.5707963250000001</v>
      </c>
      <c r="O334">
        <f t="shared" si="272"/>
        <v>177.79182354885148</v>
      </c>
      <c r="P334">
        <f t="shared" si="273"/>
        <v>1.5651717415202842</v>
      </c>
      <c r="Q334">
        <f t="shared" si="274"/>
        <v>246.32802632325297</v>
      </c>
      <c r="R334">
        <f t="shared" si="275"/>
        <v>1.5667366882644824</v>
      </c>
      <c r="S334">
        <f t="shared" si="276"/>
        <v>4.4611809268859069E-2</v>
      </c>
      <c r="T334">
        <f t="shared" si="277"/>
        <v>-1.5261697064197246</v>
      </c>
      <c r="U334">
        <f t="shared" si="278"/>
        <v>0.9977072842191218</v>
      </c>
      <c r="V334">
        <f t="shared" si="279"/>
        <v>-6.7728759147784826E-2</v>
      </c>
      <c r="X334">
        <f t="shared" si="296"/>
        <v>-21.228863120847137</v>
      </c>
      <c r="Y334">
        <f t="shared" si="280"/>
        <v>-93.324651187103711</v>
      </c>
      <c r="Z334">
        <f t="shared" si="297"/>
        <v>86.675348812896289</v>
      </c>
      <c r="AC334">
        <v>1</v>
      </c>
      <c r="AD334">
        <f t="shared" si="281"/>
        <v>177.78901124880002</v>
      </c>
      <c r="AE334">
        <f t="shared" si="282"/>
        <v>-6.7024878118799691E-4</v>
      </c>
      <c r="AF334">
        <f t="shared" si="283"/>
        <v>9.8809372027800005E-3</v>
      </c>
      <c r="AG334">
        <f t="shared" si="298"/>
        <v>17903.88715205789</v>
      </c>
      <c r="AH334">
        <f t="shared" si="299"/>
        <v>-1315.6705963617169</v>
      </c>
      <c r="AJ334">
        <f t="shared" si="284"/>
        <v>18000</v>
      </c>
      <c r="AK334">
        <f t="shared" si="285"/>
        <v>403078.90336559998</v>
      </c>
      <c r="AL334">
        <v>1</v>
      </c>
      <c r="AM334">
        <f t="shared" si="286"/>
        <v>246.32599650119997</v>
      </c>
      <c r="AN334">
        <f t="shared" si="300"/>
        <v>1636.63331849117</v>
      </c>
      <c r="AO334">
        <f t="shared" si="301"/>
        <v>-66.429718803265317</v>
      </c>
      <c r="AQ334">
        <f t="shared" si="287"/>
        <v>6.9444396219169296E-3</v>
      </c>
      <c r="AR334">
        <f t="shared" si="288"/>
        <v>-8.3333275463003158</v>
      </c>
      <c r="AT334">
        <f t="shared" si="261"/>
        <v>-10839.581559193381</v>
      </c>
      <c r="AU334">
        <f t="shared" si="262"/>
        <v>-149208.09258511508</v>
      </c>
      <c r="AV334">
        <f t="shared" si="302"/>
        <v>-1.6433163380768616</v>
      </c>
      <c r="AW334">
        <f t="shared" si="303"/>
        <v>41315.089031071075</v>
      </c>
      <c r="AX334">
        <f t="shared" si="304"/>
        <v>-17574.553825926585</v>
      </c>
      <c r="AY334">
        <f t="shared" si="312"/>
        <v>-0.40219126278988088</v>
      </c>
      <c r="BA334">
        <f t="shared" si="289"/>
        <v>3.3320499772289436</v>
      </c>
      <c r="BB334">
        <f t="shared" si="305"/>
        <v>10.454230134838909</v>
      </c>
      <c r="BC334">
        <f t="shared" si="306"/>
        <v>-1.2411250752869807</v>
      </c>
      <c r="BD334">
        <f t="shared" si="290"/>
        <v>-251.11122874305698</v>
      </c>
      <c r="BF334">
        <f t="shared" si="291"/>
        <v>-31.570791925271369</v>
      </c>
      <c r="BG334">
        <f t="shared" si="292"/>
        <v>-162.55735982956975</v>
      </c>
      <c r="BH334">
        <f t="shared" si="307"/>
        <v>17.442640170430252</v>
      </c>
      <c r="BI334">
        <f t="shared" si="308"/>
        <v>17.442640170430252</v>
      </c>
      <c r="BJ334">
        <f t="shared" si="293"/>
        <v>0</v>
      </c>
      <c r="BK334">
        <f t="shared" si="309"/>
        <v>0</v>
      </c>
      <c r="BM334">
        <f t="shared" si="310"/>
        <v>-42.025022060110274</v>
      </c>
      <c r="BN334">
        <f t="shared" si="294"/>
        <v>-91.446131086512793</v>
      </c>
      <c r="BQ334" s="66">
        <f t="shared" si="311"/>
        <v>27.356190935124047</v>
      </c>
      <c r="BR334" s="71"/>
      <c r="BS334" s="71"/>
      <c r="BT334" s="71">
        <v>173780.08300000001</v>
      </c>
      <c r="BU334" s="71">
        <v>11.3918</v>
      </c>
      <c r="BV334" s="71">
        <v>-141.173</v>
      </c>
      <c r="BY334" s="71"/>
      <c r="BZ334" s="71"/>
      <c r="CA334" s="71"/>
      <c r="CC334" s="71"/>
    </row>
    <row r="335" spans="1:81" x14ac:dyDescent="0.2">
      <c r="A335">
        <f t="shared" si="263"/>
        <v>605000</v>
      </c>
      <c r="B335">
        <f t="shared" si="295"/>
        <v>605</v>
      </c>
      <c r="C335">
        <f t="shared" si="264"/>
        <v>37.646422172600275</v>
      </c>
      <c r="D335">
        <f t="shared" si="265"/>
        <v>1.5442302528357796</v>
      </c>
      <c r="F335">
        <f t="shared" si="266"/>
        <v>1.3910000572208282E-5</v>
      </c>
      <c r="G335">
        <f t="shared" si="267"/>
        <v>1.5348113777332464E-3</v>
      </c>
      <c r="H335">
        <f t="shared" si="268"/>
        <v>-3.1400578386222668</v>
      </c>
      <c r="J335">
        <f t="shared" si="269"/>
        <v>15</v>
      </c>
      <c r="M335">
        <f t="shared" si="270"/>
        <v>5.5760316660327528E-3</v>
      </c>
      <c r="N335">
        <f t="shared" si="271"/>
        <v>-1.5707963250000001</v>
      </c>
      <c r="O335">
        <f t="shared" si="272"/>
        <v>179.27337540080538</v>
      </c>
      <c r="P335">
        <f t="shared" si="273"/>
        <v>1.5652182247278521</v>
      </c>
      <c r="Q335">
        <f t="shared" si="274"/>
        <v>248.38072618551064</v>
      </c>
      <c r="R335">
        <f t="shared" si="275"/>
        <v>1.5667702386320714</v>
      </c>
      <c r="S335">
        <f t="shared" si="276"/>
        <v>4.4243841353805331E-2</v>
      </c>
      <c r="T335">
        <f t="shared" si="277"/>
        <v>-1.5265380380287219</v>
      </c>
      <c r="U335">
        <f t="shared" si="278"/>
        <v>0.99766904713167948</v>
      </c>
      <c r="V335">
        <f t="shared" si="279"/>
        <v>-6.8291419497686828E-2</v>
      </c>
      <c r="X335">
        <f t="shared" si="296"/>
        <v>-21.301192813576058</v>
      </c>
      <c r="Y335">
        <f t="shared" si="280"/>
        <v>-93.361462025172187</v>
      </c>
      <c r="Z335">
        <f t="shared" si="297"/>
        <v>86.638537974827813</v>
      </c>
      <c r="AC335">
        <v>1</v>
      </c>
      <c r="AD335">
        <f t="shared" si="281"/>
        <v>179.27058634254001</v>
      </c>
      <c r="AE335">
        <f t="shared" si="282"/>
        <v>-6.8146613926204605E-4</v>
      </c>
      <c r="AF335">
        <f t="shared" si="283"/>
        <v>9.9632783461365004E-3</v>
      </c>
      <c r="AG335">
        <f t="shared" si="298"/>
        <v>17902.514846992206</v>
      </c>
      <c r="AH335">
        <f t="shared" si="299"/>
        <v>-1324.8608758360986</v>
      </c>
      <c r="AJ335">
        <f t="shared" si="284"/>
        <v>18000</v>
      </c>
      <c r="AK335">
        <f t="shared" si="285"/>
        <v>406437.89422697999</v>
      </c>
      <c r="AL335">
        <v>1</v>
      </c>
      <c r="AM335">
        <f t="shared" si="286"/>
        <v>248.37871313871</v>
      </c>
      <c r="AN335">
        <f t="shared" si="300"/>
        <v>1636.6288794269503</v>
      </c>
      <c r="AO335">
        <f t="shared" si="301"/>
        <v>-65.880730734902926</v>
      </c>
      <c r="AQ335">
        <f t="shared" si="287"/>
        <v>6.8301298885800913E-3</v>
      </c>
      <c r="AR335">
        <f t="shared" si="288"/>
        <v>-8.264457165181911</v>
      </c>
      <c r="AT335">
        <f t="shared" si="261"/>
        <v>-10826.979456435638</v>
      </c>
      <c r="AU335">
        <f t="shared" si="262"/>
        <v>-147963.61607386655</v>
      </c>
      <c r="AV335">
        <f t="shared" si="302"/>
        <v>-1.6438394022667939</v>
      </c>
      <c r="AW335">
        <f t="shared" si="303"/>
        <v>41320.95017274814</v>
      </c>
      <c r="AX335">
        <f t="shared" si="304"/>
        <v>-17474.339435815964</v>
      </c>
      <c r="AY335">
        <f t="shared" si="312"/>
        <v>-0.40008462322037219</v>
      </c>
      <c r="BA335">
        <f t="shared" si="289"/>
        <v>3.3068695488846576</v>
      </c>
      <c r="BB335">
        <f t="shared" si="305"/>
        <v>10.388341259525953</v>
      </c>
      <c r="BC335">
        <f t="shared" si="306"/>
        <v>-1.2437547790464216</v>
      </c>
      <c r="BD335">
        <f t="shared" si="290"/>
        <v>-251.26189967001477</v>
      </c>
      <c r="BF335">
        <f t="shared" si="291"/>
        <v>-31.708816438772189</v>
      </c>
      <c r="BG335">
        <f t="shared" si="292"/>
        <v>-162.69608527061061</v>
      </c>
      <c r="BH335">
        <f t="shared" si="307"/>
        <v>17.30391472938939</v>
      </c>
      <c r="BI335">
        <f t="shared" si="308"/>
        <v>17.30391472938939</v>
      </c>
      <c r="BJ335">
        <f t="shared" si="293"/>
        <v>0</v>
      </c>
      <c r="BK335">
        <f t="shared" si="309"/>
        <v>0</v>
      </c>
      <c r="BM335">
        <f t="shared" si="310"/>
        <v>-42.09715769829814</v>
      </c>
      <c r="BN335">
        <f t="shared" si="294"/>
        <v>-91.434185600595825</v>
      </c>
      <c r="BQ335" s="66">
        <f t="shared" si="311"/>
        <v>27.29030205981109</v>
      </c>
      <c r="BR335" s="71"/>
      <c r="BS335" s="71"/>
      <c r="BT335" s="71">
        <v>177827.94099999999</v>
      </c>
      <c r="BU335" s="71">
        <v>11.612500000000001</v>
      </c>
      <c r="BV335" s="71">
        <v>-141.86199999999999</v>
      </c>
      <c r="BY335" s="71"/>
      <c r="BZ335" s="71"/>
      <c r="CA335" s="71"/>
      <c r="CC335" s="71"/>
    </row>
    <row r="336" spans="1:81" x14ac:dyDescent="0.2">
      <c r="A336">
        <f t="shared" si="263"/>
        <v>610000</v>
      </c>
      <c r="B336">
        <f t="shared" si="295"/>
        <v>610</v>
      </c>
      <c r="C336">
        <f t="shared" si="264"/>
        <v>37.957330999143686</v>
      </c>
      <c r="D336">
        <f t="shared" si="265"/>
        <v>1.5444479063556902</v>
      </c>
      <c r="F336">
        <f t="shared" si="266"/>
        <v>1.3682899466004213E-5</v>
      </c>
      <c r="G336">
        <f t="shared" si="267"/>
        <v>1.5222306274932317E-3</v>
      </c>
      <c r="H336">
        <f t="shared" si="268"/>
        <v>-3.1400704193725071</v>
      </c>
      <c r="J336">
        <f t="shared" si="269"/>
        <v>15</v>
      </c>
      <c r="M336">
        <f t="shared" si="270"/>
        <v>5.5303264884423199E-3</v>
      </c>
      <c r="N336">
        <f t="shared" si="271"/>
        <v>-1.5707963250000001</v>
      </c>
      <c r="O336">
        <f t="shared" si="272"/>
        <v>180.7549276337634</v>
      </c>
      <c r="P336">
        <f t="shared" si="273"/>
        <v>1.5652639459391409</v>
      </c>
      <c r="Q336">
        <f t="shared" si="274"/>
        <v>250.43342632276909</v>
      </c>
      <c r="R336">
        <f t="shared" si="275"/>
        <v>1.5668032390024769</v>
      </c>
      <c r="S336">
        <f t="shared" si="276"/>
        <v>4.3881888131232914E-2</v>
      </c>
      <c r="T336">
        <f t="shared" si="277"/>
        <v>-1.5269003431383834</v>
      </c>
      <c r="U336">
        <f t="shared" si="278"/>
        <v>0.99763049717484709</v>
      </c>
      <c r="V336">
        <f t="shared" si="279"/>
        <v>-6.8854036543274572E-2</v>
      </c>
      <c r="X336">
        <f t="shared" si="296"/>
        <v>-21.372934059319448</v>
      </c>
      <c r="Y336">
        <f t="shared" si="280"/>
        <v>-93.398195942505239</v>
      </c>
      <c r="Z336">
        <f t="shared" si="297"/>
        <v>86.601804057494761</v>
      </c>
      <c r="AC336">
        <v>1</v>
      </c>
      <c r="AD336">
        <f t="shared" si="281"/>
        <v>180.75216143628003</v>
      </c>
      <c r="AE336">
        <f t="shared" si="282"/>
        <v>-6.9277658744459349E-4</v>
      </c>
      <c r="AF336">
        <f t="shared" si="283"/>
        <v>1.0045619489493E-2</v>
      </c>
      <c r="AG336">
        <f t="shared" si="298"/>
        <v>17901.131366482332</v>
      </c>
      <c r="AH336">
        <f t="shared" si="299"/>
        <v>-1334.0625447227021</v>
      </c>
      <c r="AJ336">
        <f t="shared" si="284"/>
        <v>18000</v>
      </c>
      <c r="AK336">
        <f t="shared" si="285"/>
        <v>409796.88508835994</v>
      </c>
      <c r="AL336">
        <v>1</v>
      </c>
      <c r="AM336">
        <f t="shared" si="286"/>
        <v>250.43142977622</v>
      </c>
      <c r="AN336">
        <f t="shared" si="300"/>
        <v>1636.624549069742</v>
      </c>
      <c r="AO336">
        <f t="shared" si="301"/>
        <v>-65.340742036860988</v>
      </c>
      <c r="AQ336">
        <f t="shared" si="287"/>
        <v>6.7186195118116689E-3</v>
      </c>
      <c r="AR336">
        <f t="shared" si="288"/>
        <v>-8.1967158044102355</v>
      </c>
      <c r="AT336">
        <f t="shared" si="261"/>
        <v>-10814.660653917957</v>
      </c>
      <c r="AU336">
        <f t="shared" si="262"/>
        <v>-146739.44944711248</v>
      </c>
      <c r="AV336">
        <f t="shared" si="302"/>
        <v>-1.644363072246348</v>
      </c>
      <c r="AW336">
        <f t="shared" si="303"/>
        <v>41326.567179771329</v>
      </c>
      <c r="AX336">
        <f t="shared" si="304"/>
        <v>-17376.133030548128</v>
      </c>
      <c r="AY336">
        <f t="shared" si="312"/>
        <v>-0.39801822272821963</v>
      </c>
      <c r="BA336">
        <f t="shared" si="289"/>
        <v>3.2820493266166428</v>
      </c>
      <c r="BB336">
        <f t="shared" si="305"/>
        <v>10.322902077403269</v>
      </c>
      <c r="BC336">
        <f t="shared" si="306"/>
        <v>-1.2463448495181284</v>
      </c>
      <c r="BD336">
        <f t="shared" si="290"/>
        <v>-251.41029977685463</v>
      </c>
      <c r="BF336">
        <f t="shared" si="291"/>
        <v>-31.845796679783206</v>
      </c>
      <c r="BG336">
        <f t="shared" si="292"/>
        <v>-162.83273557324185</v>
      </c>
      <c r="BH336">
        <f t="shared" si="307"/>
        <v>17.167264426758152</v>
      </c>
      <c r="BI336">
        <f t="shared" si="308"/>
        <v>17.167264426758152</v>
      </c>
      <c r="BJ336">
        <f t="shared" si="293"/>
        <v>0</v>
      </c>
      <c r="BK336">
        <f t="shared" si="309"/>
        <v>0</v>
      </c>
      <c r="BM336">
        <f t="shared" si="310"/>
        <v>-42.168698757186476</v>
      </c>
      <c r="BN336">
        <f t="shared" si="294"/>
        <v>-91.422435796387234</v>
      </c>
      <c r="BQ336" s="66">
        <f t="shared" si="311"/>
        <v>27.224862877688402</v>
      </c>
      <c r="BR336" s="71"/>
      <c r="BS336" s="71"/>
      <c r="BT336" s="71">
        <v>181970.08600000001</v>
      </c>
      <c r="BU336" s="71">
        <v>11.8933</v>
      </c>
      <c r="BV336" s="71">
        <v>-143.41399999999999</v>
      </c>
      <c r="BY336" s="71"/>
      <c r="BZ336" s="71"/>
      <c r="CA336" s="71"/>
      <c r="CC336" s="71"/>
    </row>
    <row r="337" spans="1:81" x14ac:dyDescent="0.2">
      <c r="A337">
        <f t="shared" si="263"/>
        <v>615000</v>
      </c>
      <c r="B337">
        <f t="shared" si="295"/>
        <v>615</v>
      </c>
      <c r="C337">
        <f t="shared" si="264"/>
        <v>38.268241594623696</v>
      </c>
      <c r="D337">
        <f t="shared" si="265"/>
        <v>1.544662023230529</v>
      </c>
      <c r="F337">
        <f t="shared" si="266"/>
        <v>1.3461314955659713E-5</v>
      </c>
      <c r="G337">
        <f t="shared" si="267"/>
        <v>1.5098544502273265E-3</v>
      </c>
      <c r="H337">
        <f t="shared" si="268"/>
        <v>-3.1400827955497728</v>
      </c>
      <c r="J337">
        <f t="shared" si="269"/>
        <v>15</v>
      </c>
      <c r="M337">
        <f t="shared" si="270"/>
        <v>5.4853644844712448E-3</v>
      </c>
      <c r="N337">
        <f t="shared" si="271"/>
        <v>-1.5707963250000001</v>
      </c>
      <c r="O337">
        <f t="shared" si="272"/>
        <v>182.23648023843293</v>
      </c>
      <c r="P337">
        <f t="shared" si="273"/>
        <v>1.5653089237386701</v>
      </c>
      <c r="Q337">
        <f t="shared" si="274"/>
        <v>252.48612672832115</v>
      </c>
      <c r="R337">
        <f t="shared" si="275"/>
        <v>1.5668357027899802</v>
      </c>
      <c r="S337">
        <f t="shared" si="276"/>
        <v>4.3525803464353488E-2</v>
      </c>
      <c r="T337">
        <f t="shared" si="277"/>
        <v>-1.527256768360598</v>
      </c>
      <c r="U337">
        <f t="shared" si="278"/>
        <v>0.99759163445810173</v>
      </c>
      <c r="V337">
        <f t="shared" si="279"/>
        <v>-6.9416609933409215E-2</v>
      </c>
      <c r="X337">
        <f t="shared" si="296"/>
        <v>-21.444096476099453</v>
      </c>
      <c r="Y337">
        <f t="shared" si="280"/>
        <v>-93.434854717790387</v>
      </c>
      <c r="Z337">
        <f t="shared" si="297"/>
        <v>86.565145282209613</v>
      </c>
      <c r="AC337">
        <v>1</v>
      </c>
      <c r="AD337">
        <f t="shared" si="281"/>
        <v>182.23373653002002</v>
      </c>
      <c r="AE337">
        <f t="shared" si="282"/>
        <v>-7.0418012573563935E-4</v>
      </c>
      <c r="AF337">
        <f t="shared" si="283"/>
        <v>1.01279606328495E-2</v>
      </c>
      <c r="AG337">
        <f t="shared" si="298"/>
        <v>17899.736715758561</v>
      </c>
      <c r="AH337">
        <f t="shared" si="299"/>
        <v>-1343.2752500055915</v>
      </c>
      <c r="AJ337">
        <f t="shared" si="284"/>
        <v>18000</v>
      </c>
      <c r="AK337">
        <f t="shared" si="285"/>
        <v>413155.87594973994</v>
      </c>
      <c r="AL337">
        <v>1</v>
      </c>
      <c r="AM337">
        <f t="shared" si="286"/>
        <v>252.48414641372997</v>
      </c>
      <c r="AN337">
        <f t="shared" si="300"/>
        <v>1636.6203238988612</v>
      </c>
      <c r="AO337">
        <f t="shared" si="301"/>
        <v>-64.809533226246586</v>
      </c>
      <c r="AQ337">
        <f t="shared" si="287"/>
        <v>6.6098178268108754E-3</v>
      </c>
      <c r="AR337">
        <f t="shared" si="288"/>
        <v>-8.1300759269773764</v>
      </c>
      <c r="AT337">
        <f t="shared" si="261"/>
        <v>-10802.615774535934</v>
      </c>
      <c r="AU337">
        <f t="shared" si="262"/>
        <v>-145535.09737671557</v>
      </c>
      <c r="AV337">
        <f t="shared" si="302"/>
        <v>-1.6448873318335788</v>
      </c>
      <c r="AW337">
        <f t="shared" si="303"/>
        <v>41331.947157492636</v>
      </c>
      <c r="AX337">
        <f t="shared" si="304"/>
        <v>-17279.885431446637</v>
      </c>
      <c r="AY337">
        <f t="shared" si="312"/>
        <v>-0.3959911707018598</v>
      </c>
      <c r="BA337">
        <f t="shared" si="289"/>
        <v>3.2575820439133354</v>
      </c>
      <c r="BB337">
        <f t="shared" si="305"/>
        <v>10.257907249136107</v>
      </c>
      <c r="BC337">
        <f t="shared" si="306"/>
        <v>-1.2488961611317191</v>
      </c>
      <c r="BD337">
        <f t="shared" si="290"/>
        <v>-251.55647916470309</v>
      </c>
      <c r="BF337">
        <f t="shared" si="291"/>
        <v>-31.981747716092791</v>
      </c>
      <c r="BG337">
        <f t="shared" si="292"/>
        <v>-162.96735607055015</v>
      </c>
      <c r="BH337">
        <f t="shared" si="307"/>
        <v>17.032643929449847</v>
      </c>
      <c r="BI337">
        <f t="shared" si="308"/>
        <v>17.032643929449847</v>
      </c>
      <c r="BJ337">
        <f t="shared" si="293"/>
        <v>0</v>
      </c>
      <c r="BK337">
        <f t="shared" si="309"/>
        <v>0</v>
      </c>
      <c r="BM337">
        <f t="shared" si="310"/>
        <v>-42.239654965228894</v>
      </c>
      <c r="BN337">
        <f t="shared" si="294"/>
        <v>-91.410876905847047</v>
      </c>
      <c r="BQ337" s="66">
        <f t="shared" si="311"/>
        <v>27.159868049421242</v>
      </c>
      <c r="BR337" s="71"/>
      <c r="BS337" s="71"/>
      <c r="BT337" s="71">
        <v>186208.71400000001</v>
      </c>
      <c r="BU337" s="71">
        <v>12.027799999999999</v>
      </c>
      <c r="BV337" s="71">
        <v>-144.279</v>
      </c>
      <c r="BY337" s="71"/>
      <c r="BZ337" s="71"/>
      <c r="CA337" s="71"/>
      <c r="CC337" s="71"/>
    </row>
    <row r="338" spans="1:81" x14ac:dyDescent="0.2">
      <c r="A338">
        <f t="shared" si="263"/>
        <v>620000</v>
      </c>
      <c r="B338">
        <f t="shared" si="295"/>
        <v>620</v>
      </c>
      <c r="C338">
        <f t="shared" si="264"/>
        <v>38.57915391627256</v>
      </c>
      <c r="D338">
        <f t="shared" si="265"/>
        <v>1.5448726889466931</v>
      </c>
      <c r="F338">
        <f t="shared" si="266"/>
        <v>1.3245069802345471E-5</v>
      </c>
      <c r="G338">
        <f t="shared" si="267"/>
        <v>1.4976778963366739E-3</v>
      </c>
      <c r="H338">
        <f t="shared" si="268"/>
        <v>-3.1400949721036637</v>
      </c>
      <c r="J338">
        <f t="shared" si="269"/>
        <v>15</v>
      </c>
      <c r="M338">
        <f t="shared" si="270"/>
        <v>5.4411276741126056E-3</v>
      </c>
      <c r="N338">
        <f t="shared" si="271"/>
        <v>-1.5707963250000001</v>
      </c>
      <c r="O338">
        <f t="shared" si="272"/>
        <v>183.71803320582129</v>
      </c>
      <c r="P338">
        <f t="shared" si="273"/>
        <v>1.5653531761114887</v>
      </c>
      <c r="Q338">
        <f t="shared" si="274"/>
        <v>254.53882739567592</v>
      </c>
      <c r="R338">
        <f t="shared" si="275"/>
        <v>1.5668676429761554</v>
      </c>
      <c r="S338">
        <f t="shared" si="276"/>
        <v>4.3175445908103682E-2</v>
      </c>
      <c r="T338">
        <f t="shared" si="277"/>
        <v>-1.5276074555927788</v>
      </c>
      <c r="U338">
        <f t="shared" si="278"/>
        <v>0.99755245909178647</v>
      </c>
      <c r="V338">
        <f t="shared" si="279"/>
        <v>-6.997913931711694E-2</v>
      </c>
      <c r="X338">
        <f t="shared" si="296"/>
        <v>-21.514689449342814</v>
      </c>
      <c r="Y338">
        <f t="shared" si="280"/>
        <v>-93.471440072365837</v>
      </c>
      <c r="Z338">
        <f t="shared" si="297"/>
        <v>86.528559927634163</v>
      </c>
      <c r="AC338">
        <v>1</v>
      </c>
      <c r="AD338">
        <f t="shared" si="281"/>
        <v>183.71531162376002</v>
      </c>
      <c r="AE338">
        <f t="shared" si="282"/>
        <v>-7.156767541351835E-4</v>
      </c>
      <c r="AF338">
        <f t="shared" si="283"/>
        <v>1.0210301776206E-2</v>
      </c>
      <c r="AG338">
        <f t="shared" si="298"/>
        <v>17898.330900092187</v>
      </c>
      <c r="AH338">
        <f t="shared" si="299"/>
        <v>-1352.4986494715351</v>
      </c>
      <c r="AJ338">
        <f t="shared" si="284"/>
        <v>18000</v>
      </c>
      <c r="AK338">
        <f t="shared" si="285"/>
        <v>416514.86681112001</v>
      </c>
      <c r="AL338">
        <v>1</v>
      </c>
      <c r="AM338">
        <f t="shared" si="286"/>
        <v>254.53686305124</v>
      </c>
      <c r="AN338">
        <f t="shared" si="300"/>
        <v>1636.6162005350066</v>
      </c>
      <c r="AO338">
        <f t="shared" si="301"/>
        <v>-64.286891899704656</v>
      </c>
      <c r="AQ338">
        <f t="shared" si="287"/>
        <v>6.5036378098089166E-3</v>
      </c>
      <c r="AR338">
        <f t="shared" si="288"/>
        <v>-8.0645108841630559</v>
      </c>
      <c r="AT338">
        <f t="shared" si="261"/>
        <v>-10790.835817904717</v>
      </c>
      <c r="AU338">
        <f t="shared" si="262"/>
        <v>-144350.08051349982</v>
      </c>
      <c r="AV338">
        <f t="shared" si="302"/>
        <v>-1.6454121653573472</v>
      </c>
      <c r="AW338">
        <f t="shared" si="303"/>
        <v>41337.096926493228</v>
      </c>
      <c r="AX338">
        <f t="shared" si="304"/>
        <v>-17185.549046301734</v>
      </c>
      <c r="AY338">
        <f t="shared" si="312"/>
        <v>-0.39400260192659048</v>
      </c>
      <c r="BA338">
        <f t="shared" si="289"/>
        <v>3.2334606154491583</v>
      </c>
      <c r="BB338">
        <f t="shared" si="305"/>
        <v>10.193351509483517</v>
      </c>
      <c r="BC338">
        <f t="shared" si="306"/>
        <v>-1.2514095634307567</v>
      </c>
      <c r="BD338">
        <f t="shared" si="290"/>
        <v>-251.700486508821</v>
      </c>
      <c r="BF338">
        <f t="shared" si="291"/>
        <v>-32.116684304404416</v>
      </c>
      <c r="BG338">
        <f t="shared" si="292"/>
        <v>-163.09999082337771</v>
      </c>
      <c r="BH338">
        <f t="shared" si="307"/>
        <v>16.900009176622291</v>
      </c>
      <c r="BI338">
        <f t="shared" si="308"/>
        <v>16.900009176622291</v>
      </c>
      <c r="BJ338">
        <f t="shared" si="293"/>
        <v>0</v>
      </c>
      <c r="BK338">
        <f t="shared" si="309"/>
        <v>0</v>
      </c>
      <c r="BM338">
        <f t="shared" si="310"/>
        <v>-42.310035813887936</v>
      </c>
      <c r="BN338">
        <f t="shared" si="294"/>
        <v>-91.399504314556722</v>
      </c>
      <c r="BQ338" s="66">
        <f t="shared" si="311"/>
        <v>27.095312309768651</v>
      </c>
      <c r="BR338" s="71"/>
      <c r="BS338" s="71"/>
      <c r="BT338" s="71">
        <v>190546.07199999999</v>
      </c>
      <c r="BU338" s="71">
        <v>12.182600000000001</v>
      </c>
      <c r="BV338" s="71">
        <v>-145.40799999999999</v>
      </c>
      <c r="BY338" s="71"/>
      <c r="BZ338" s="71"/>
      <c r="CA338" s="71"/>
      <c r="CC338" s="71"/>
    </row>
    <row r="339" spans="1:81" x14ac:dyDescent="0.2">
      <c r="A339">
        <f t="shared" si="263"/>
        <v>625000</v>
      </c>
      <c r="B339">
        <f t="shared" si="295"/>
        <v>625</v>
      </c>
      <c r="C339">
        <f t="shared" si="264"/>
        <v>38.890067922689944</v>
      </c>
      <c r="D339">
        <f t="shared" si="265"/>
        <v>1.5450799862580789</v>
      </c>
      <c r="F339">
        <f t="shared" si="266"/>
        <v>1.3033993828483514E-5</v>
      </c>
      <c r="G339">
        <f t="shared" si="267"/>
        <v>1.4856961746195693E-3</v>
      </c>
      <c r="H339">
        <f t="shared" si="268"/>
        <v>-3.1401069538253807</v>
      </c>
      <c r="J339">
        <f t="shared" si="269"/>
        <v>15</v>
      </c>
      <c r="M339">
        <f t="shared" si="270"/>
        <v>5.3975986527197047E-3</v>
      </c>
      <c r="N339">
        <f t="shared" si="271"/>
        <v>-1.5707963250000001</v>
      </c>
      <c r="O339">
        <f t="shared" si="272"/>
        <v>185.19958652722349</v>
      </c>
      <c r="P339">
        <f t="shared" si="273"/>
        <v>1.5653967204671528</v>
      </c>
      <c r="Q339">
        <f t="shared" si="274"/>
        <v>256.59152831855027</v>
      </c>
      <c r="R339">
        <f t="shared" si="275"/>
        <v>1.5668990721271769</v>
      </c>
      <c r="S339">
        <f t="shared" si="276"/>
        <v>4.2830678522533257E-2</v>
      </c>
      <c r="T339">
        <f t="shared" si="277"/>
        <v>-1.5279525422057354</v>
      </c>
      <c r="U339">
        <f t="shared" si="278"/>
        <v>0.99751297118710802</v>
      </c>
      <c r="V339">
        <f t="shared" si="279"/>
        <v>-7.0541624343590209E-2</v>
      </c>
      <c r="X339">
        <f t="shared" si="296"/>
        <v>-21.584722139311786</v>
      </c>
      <c r="Y339">
        <f t="shared" si="280"/>
        <v>-93.50795367248314</v>
      </c>
      <c r="Z339">
        <f t="shared" si="297"/>
        <v>86.49204632751686</v>
      </c>
      <c r="AC339">
        <v>1</v>
      </c>
      <c r="AD339">
        <f t="shared" si="281"/>
        <v>185.19688671750001</v>
      </c>
      <c r="AE339">
        <f t="shared" si="282"/>
        <v>-7.2726647264322595E-4</v>
      </c>
      <c r="AF339">
        <f t="shared" si="283"/>
        <v>1.02926429195625E-2</v>
      </c>
      <c r="AG339">
        <f t="shared" si="298"/>
        <v>17896.913924795459</v>
      </c>
      <c r="AH339">
        <f t="shared" si="299"/>
        <v>-1361.7324112785973</v>
      </c>
      <c r="AJ339">
        <f t="shared" si="284"/>
        <v>18000</v>
      </c>
      <c r="AK339">
        <f t="shared" si="285"/>
        <v>419873.85767249996</v>
      </c>
      <c r="AL339">
        <v>1</v>
      </c>
      <c r="AM339">
        <f t="shared" si="286"/>
        <v>256.58957968875001</v>
      </c>
      <c r="AN339">
        <f t="shared" si="300"/>
        <v>1636.6121757335031</v>
      </c>
      <c r="AO339">
        <f t="shared" si="301"/>
        <v>-63.772612450262869</v>
      </c>
      <c r="AQ339">
        <f t="shared" si="287"/>
        <v>6.3999959040026214E-3</v>
      </c>
      <c r="AR339">
        <f t="shared" si="288"/>
        <v>-7.9999948800032765</v>
      </c>
      <c r="AT339">
        <f t="shared" si="261"/>
        <v>-10779.312142350314</v>
      </c>
      <c r="AU339">
        <f t="shared" si="262"/>
        <v>-143183.93484807754</v>
      </c>
      <c r="AV339">
        <f t="shared" si="302"/>
        <v>-1.6459375576368971</v>
      </c>
      <c r="AW339">
        <f t="shared" si="303"/>
        <v>41342.023036201223</v>
      </c>
      <c r="AX339">
        <f t="shared" si="304"/>
        <v>-17093.077805848257</v>
      </c>
      <c r="AY339">
        <f t="shared" si="312"/>
        <v>-0.39205167570867411</v>
      </c>
      <c r="BA339">
        <f t="shared" si="289"/>
        <v>3.209678132004441</v>
      </c>
      <c r="BB339">
        <f t="shared" si="305"/>
        <v>10.129229666770245</v>
      </c>
      <c r="BC339">
        <f t="shared" si="306"/>
        <v>-1.253885881928223</v>
      </c>
      <c r="BD339">
        <f t="shared" si="290"/>
        <v>-251.84236910761811</v>
      </c>
      <c r="BF339">
        <f t="shared" si="291"/>
        <v>-32.250620898505595</v>
      </c>
      <c r="BG339">
        <f t="shared" si="292"/>
        <v>-163.23068266320092</v>
      </c>
      <c r="BH339">
        <f t="shared" si="307"/>
        <v>16.769317336799077</v>
      </c>
      <c r="BI339">
        <f t="shared" si="308"/>
        <v>16.769317336799077</v>
      </c>
      <c r="BJ339">
        <f t="shared" si="293"/>
        <v>0</v>
      </c>
      <c r="BK339">
        <f t="shared" si="309"/>
        <v>0</v>
      </c>
      <c r="BM339">
        <f t="shared" si="310"/>
        <v>-42.379850565275838</v>
      </c>
      <c r="BN339">
        <f t="shared" si="294"/>
        <v>-91.388313555582812</v>
      </c>
      <c r="BQ339" s="66">
        <f t="shared" si="311"/>
        <v>27.031190467055382</v>
      </c>
      <c r="BR339" s="71"/>
      <c r="BS339" s="71"/>
      <c r="BT339" s="71">
        <v>194984.46</v>
      </c>
      <c r="BU339" s="71">
        <v>12.458399999999999</v>
      </c>
      <c r="BV339" s="71">
        <v>-146.886</v>
      </c>
      <c r="BY339" s="71"/>
      <c r="BZ339" s="71"/>
      <c r="CA339" s="71"/>
      <c r="CC339" s="71"/>
    </row>
    <row r="340" spans="1:81" x14ac:dyDescent="0.2">
      <c r="A340">
        <f t="shared" si="263"/>
        <v>630000</v>
      </c>
      <c r="B340">
        <f t="shared" si="295"/>
        <v>630</v>
      </c>
      <c r="C340">
        <f t="shared" si="264"/>
        <v>39.200983573788733</v>
      </c>
      <c r="D340">
        <f t="shared" si="265"/>
        <v>1.5452839952943704</v>
      </c>
      <c r="F340">
        <f t="shared" si="266"/>
        <v>1.2827923582829289E-5</v>
      </c>
      <c r="G340">
        <f t="shared" si="267"/>
        <v>1.4739046459853863E-3</v>
      </c>
      <c r="H340">
        <f t="shared" si="268"/>
        <v>-3.1401187453540147</v>
      </c>
      <c r="J340">
        <f t="shared" si="269"/>
        <v>15</v>
      </c>
      <c r="M340">
        <f t="shared" si="270"/>
        <v>5.3547605681743098E-3</v>
      </c>
      <c r="N340">
        <f t="shared" si="271"/>
        <v>-1.5707963250000001</v>
      </c>
      <c r="O340">
        <f t="shared" si="272"/>
        <v>186.68114019421083</v>
      </c>
      <c r="P340">
        <f t="shared" si="273"/>
        <v>1.5654395736625608</v>
      </c>
      <c r="Q340">
        <f t="shared" si="274"/>
        <v>258.64422949086048</v>
      </c>
      <c r="R340">
        <f t="shared" si="275"/>
        <v>1.5669300024103026</v>
      </c>
      <c r="S340">
        <f t="shared" si="276"/>
        <v>4.2491368695021778E-2</v>
      </c>
      <c r="T340">
        <f t="shared" si="277"/>
        <v>-1.5282921612226394</v>
      </c>
      <c r="U340">
        <f t="shared" si="278"/>
        <v>0.99747317085613729</v>
      </c>
      <c r="V340">
        <f t="shared" si="279"/>
        <v>-7.110406466218909E-2</v>
      </c>
      <c r="X340">
        <f t="shared" si="296"/>
        <v>-21.654203488240952</v>
      </c>
      <c r="Y340">
        <f t="shared" si="280"/>
        <v>-93.544397131464393</v>
      </c>
      <c r="Z340">
        <f t="shared" si="297"/>
        <v>86.455602868535607</v>
      </c>
      <c r="AC340">
        <v>1</v>
      </c>
      <c r="AD340">
        <f t="shared" si="281"/>
        <v>186.67846181124003</v>
      </c>
      <c r="AE340">
        <f t="shared" si="282"/>
        <v>-7.3894928125976659E-4</v>
      </c>
      <c r="AF340">
        <f t="shared" si="283"/>
        <v>1.0374984062919002E-2</v>
      </c>
      <c r="AG340">
        <f t="shared" si="298"/>
        <v>17895.48579522151</v>
      </c>
      <c r="AH340">
        <f t="shared" si="299"/>
        <v>-1370.9762135452777</v>
      </c>
      <c r="AJ340">
        <f t="shared" si="284"/>
        <v>18000</v>
      </c>
      <c r="AK340">
        <f t="shared" si="285"/>
        <v>423232.84853387997</v>
      </c>
      <c r="AL340">
        <v>1</v>
      </c>
      <c r="AM340">
        <f t="shared" si="286"/>
        <v>258.64229632625995</v>
      </c>
      <c r="AN340">
        <f t="shared" si="300"/>
        <v>1636.6082463779162</v>
      </c>
      <c r="AO340">
        <f t="shared" si="301"/>
        <v>-63.26649579765855</v>
      </c>
      <c r="AQ340">
        <f t="shared" si="287"/>
        <v>6.2988118551197689E-3</v>
      </c>
      <c r="AR340">
        <f t="shared" si="288"/>
        <v>-7.9365029374509088</v>
      </c>
      <c r="AT340">
        <f t="shared" si="261"/>
        <v>-10768.036447897352</v>
      </c>
      <c r="AU340">
        <f t="shared" si="262"/>
        <v>-142036.21110211351</v>
      </c>
      <c r="AV340">
        <f t="shared" si="302"/>
        <v>-1.6464634939624059</v>
      </c>
      <c r="AW340">
        <f t="shared" si="303"/>
        <v>41346.731777755755</v>
      </c>
      <c r="AX340">
        <f t="shared" si="304"/>
        <v>-17002.427103271879</v>
      </c>
      <c r="AY340">
        <f t="shared" si="312"/>
        <v>-0.39013757503444385</v>
      </c>
      <c r="BA340">
        <f t="shared" si="289"/>
        <v>3.1862278555277497</v>
      </c>
      <c r="BB340">
        <f t="shared" si="305"/>
        <v>10.065536602308987</v>
      </c>
      <c r="BC340">
        <f t="shared" si="306"/>
        <v>-1.2563259189279621</v>
      </c>
      <c r="BD340">
        <f t="shared" si="290"/>
        <v>-251.98217292971867</v>
      </c>
      <c r="BF340">
        <f t="shared" si="291"/>
        <v>-32.383571657180731</v>
      </c>
      <c r="BG340">
        <f t="shared" si="292"/>
        <v>-163.35947323335159</v>
      </c>
      <c r="BH340">
        <f t="shared" si="307"/>
        <v>16.640526766648406</v>
      </c>
      <c r="BI340">
        <f t="shared" si="308"/>
        <v>16.640526766648406</v>
      </c>
      <c r="BJ340">
        <f t="shared" si="293"/>
        <v>0</v>
      </c>
      <c r="BK340">
        <f t="shared" si="309"/>
        <v>0</v>
      </c>
      <c r="BM340">
        <f t="shared" si="310"/>
        <v>-42.449108259489719</v>
      </c>
      <c r="BN340">
        <f t="shared" si="294"/>
        <v>-91.377300303632921</v>
      </c>
      <c r="BQ340" s="66">
        <f t="shared" si="311"/>
        <v>26.96749740259412</v>
      </c>
      <c r="BR340" s="71"/>
      <c r="BS340" s="71"/>
      <c r="BT340" s="71">
        <v>199526.231</v>
      </c>
      <c r="BU340" s="71">
        <v>12.6511</v>
      </c>
      <c r="BV340" s="71">
        <v>-147.23699999999999</v>
      </c>
      <c r="BY340" s="71"/>
      <c r="BZ340" s="71"/>
      <c r="CA340" s="71"/>
      <c r="CC340" s="71"/>
    </row>
    <row r="341" spans="1:81" x14ac:dyDescent="0.2">
      <c r="A341">
        <f t="shared" si="263"/>
        <v>635000</v>
      </c>
      <c r="B341">
        <f t="shared" si="295"/>
        <v>635</v>
      </c>
      <c r="C341">
        <f t="shared" si="264"/>
        <v>39.511900830743386</v>
      </c>
      <c r="D341">
        <f t="shared" si="265"/>
        <v>1.5454847936642211</v>
      </c>
      <c r="F341">
        <f t="shared" si="266"/>
        <v>1.2626702023941209E-5</v>
      </c>
      <c r="G341">
        <f t="shared" si="267"/>
        <v>1.4622988174655136E-3</v>
      </c>
      <c r="H341">
        <f t="shared" si="268"/>
        <v>-3.1401303511825347</v>
      </c>
      <c r="J341">
        <f t="shared" si="269"/>
        <v>15</v>
      </c>
      <c r="M341">
        <f t="shared" si="270"/>
        <v>5.3125970991335673E-3</v>
      </c>
      <c r="N341">
        <f t="shared" si="271"/>
        <v>-1.5707963250000001</v>
      </c>
      <c r="O341">
        <f t="shared" si="272"/>
        <v>188.16269419862016</v>
      </c>
      <c r="P341">
        <f t="shared" si="273"/>
        <v>1.5654817520237108</v>
      </c>
      <c r="Q341">
        <f t="shared" si="274"/>
        <v>260.69693090671439</v>
      </c>
      <c r="R341">
        <f t="shared" si="275"/>
        <v>1.5669604456095796</v>
      </c>
      <c r="S341">
        <f t="shared" si="276"/>
        <v>4.215738797084069E-2</v>
      </c>
      <c r="T341">
        <f t="shared" si="277"/>
        <v>-1.5286264414895698</v>
      </c>
      <c r="U341">
        <f t="shared" si="278"/>
        <v>0.99743305821180694</v>
      </c>
      <c r="V341">
        <f t="shared" si="279"/>
        <v>-7.1666459922442541E-2</v>
      </c>
      <c r="X341">
        <f t="shared" si="296"/>
        <v>-21.723142227193769</v>
      </c>
      <c r="Y341">
        <f t="shared" si="280"/>
        <v>-93.580772011758569</v>
      </c>
      <c r="Z341">
        <f t="shared" si="297"/>
        <v>86.419227988241431</v>
      </c>
      <c r="AC341">
        <v>1</v>
      </c>
      <c r="AD341">
        <f t="shared" si="281"/>
        <v>188.16003690498002</v>
      </c>
      <c r="AE341">
        <f t="shared" si="282"/>
        <v>-7.5072517998480564E-4</v>
      </c>
      <c r="AF341">
        <f t="shared" si="283"/>
        <v>1.04573252062755E-2</v>
      </c>
      <c r="AG341">
        <f t="shared" si="298"/>
        <v>17894.046516764331</v>
      </c>
      <c r="AH341">
        <f t="shared" si="299"/>
        <v>-1380.2297439590723</v>
      </c>
      <c r="AJ341">
        <f t="shared" si="284"/>
        <v>18000</v>
      </c>
      <c r="AK341">
        <f t="shared" si="285"/>
        <v>426591.83939526003</v>
      </c>
      <c r="AL341">
        <v>1</v>
      </c>
      <c r="AM341">
        <f t="shared" si="286"/>
        <v>260.69501296377001</v>
      </c>
      <c r="AN341">
        <f t="shared" si="300"/>
        <v>1636.6044094740148</v>
      </c>
      <c r="AO341">
        <f t="shared" si="301"/>
        <v>-62.768349131404683</v>
      </c>
      <c r="AQ341">
        <f t="shared" si="287"/>
        <v>6.2000085560118077E-3</v>
      </c>
      <c r="AR341">
        <f t="shared" si="288"/>
        <v>-7.874010866134995</v>
      </c>
      <c r="AT341">
        <f t="shared" si="261"/>
        <v>-10757.000760190844</v>
      </c>
      <c r="AU341">
        <f t="shared" si="262"/>
        <v>-140906.4741483492</v>
      </c>
      <c r="AV341">
        <f t="shared" si="302"/>
        <v>-1.6469899600764517</v>
      </c>
      <c r="AW341">
        <f t="shared" si="303"/>
        <v>41351.229196165121</v>
      </c>
      <c r="AX341">
        <f t="shared" si="304"/>
        <v>-16913.553736576723</v>
      </c>
      <c r="AY341">
        <f t="shared" si="312"/>
        <v>-0.38825950576284141</v>
      </c>
      <c r="BA341">
        <f t="shared" si="289"/>
        <v>3.1631032143377857</v>
      </c>
      <c r="BB341">
        <f t="shared" si="305"/>
        <v>10.002267269778276</v>
      </c>
      <c r="BC341">
        <f t="shared" si="306"/>
        <v>-1.2587304543136102</v>
      </c>
      <c r="BD341">
        <f t="shared" si="290"/>
        <v>-252.1199426591636</v>
      </c>
      <c r="BF341">
        <f t="shared" si="291"/>
        <v>-32.51555045187731</v>
      </c>
      <c r="BG341">
        <f t="shared" si="292"/>
        <v>-163.48640302865053</v>
      </c>
      <c r="BH341">
        <f t="shared" si="307"/>
        <v>16.513596971349472</v>
      </c>
      <c r="BI341">
        <f t="shared" si="308"/>
        <v>16.513596971349472</v>
      </c>
      <c r="BJ341">
        <f t="shared" si="293"/>
        <v>0</v>
      </c>
      <c r="BK341">
        <f t="shared" si="309"/>
        <v>0</v>
      </c>
      <c r="BM341">
        <f t="shared" si="310"/>
        <v>-42.517817721655582</v>
      </c>
      <c r="BN341">
        <f t="shared" si="294"/>
        <v>-91.366460369486944</v>
      </c>
      <c r="BQ341" s="66">
        <f t="shared" si="311"/>
        <v>26.904228070063411</v>
      </c>
      <c r="BR341" s="71"/>
      <c r="BS341" s="71"/>
      <c r="BT341" s="71">
        <v>204173.79399999999</v>
      </c>
      <c r="BU341" s="71">
        <v>12.903600000000001</v>
      </c>
      <c r="BV341" s="71">
        <v>-148.923</v>
      </c>
      <c r="BY341" s="71"/>
      <c r="BZ341" s="71"/>
      <c r="CA341" s="71"/>
      <c r="CC341" s="71"/>
    </row>
    <row r="342" spans="1:81" x14ac:dyDescent="0.2">
      <c r="A342">
        <f t="shared" si="263"/>
        <v>640000</v>
      </c>
      <c r="B342">
        <f t="shared" si="295"/>
        <v>640</v>
      </c>
      <c r="C342">
        <f t="shared" si="264"/>
        <v>39.822819655940641</v>
      </c>
      <c r="D342">
        <f t="shared" si="265"/>
        <v>1.5456824565536025</v>
      </c>
      <c r="F342">
        <f t="shared" si="266"/>
        <v>1.2430178220892911E-5</v>
      </c>
      <c r="G342">
        <f t="shared" si="267"/>
        <v>1.450874336505048E-3</v>
      </c>
      <c r="H342">
        <f t="shared" si="268"/>
        <v>-3.1401417756634951</v>
      </c>
      <c r="J342">
        <f t="shared" si="269"/>
        <v>15</v>
      </c>
      <c r="M342">
        <f t="shared" si="270"/>
        <v>5.2710924342965863E-3</v>
      </c>
      <c r="N342">
        <f t="shared" si="271"/>
        <v>-1.5707963250000001</v>
      </c>
      <c r="O342">
        <f t="shared" si="272"/>
        <v>189.64424853254334</v>
      </c>
      <c r="P342">
        <f t="shared" si="273"/>
        <v>1.5655232713664373</v>
      </c>
      <c r="Q342">
        <f t="shared" si="274"/>
        <v>262.74963256040411</v>
      </c>
      <c r="R342">
        <f t="shared" si="275"/>
        <v>1.5669904131408126</v>
      </c>
      <c r="S342">
        <f t="shared" si="276"/>
        <v>4.1828611891607713E-2</v>
      </c>
      <c r="T342">
        <f t="shared" si="277"/>
        <v>-1.528955507838097</v>
      </c>
      <c r="U342">
        <f t="shared" si="278"/>
        <v>0.99739263336791284</v>
      </c>
      <c r="V342">
        <f t="shared" si="279"/>
        <v>-7.2228809774049677E-2</v>
      </c>
      <c r="X342">
        <f t="shared" si="296"/>
        <v>-21.791546882652039</v>
      </c>
      <c r="Y342">
        <f t="shared" si="280"/>
        <v>-93.617079826903108</v>
      </c>
      <c r="Z342">
        <f t="shared" si="297"/>
        <v>86.382920173096892</v>
      </c>
      <c r="AC342">
        <v>1</v>
      </c>
      <c r="AD342">
        <f t="shared" si="281"/>
        <v>189.64161199872001</v>
      </c>
      <c r="AE342">
        <f t="shared" si="282"/>
        <v>-7.6259416881834321E-4</v>
      </c>
      <c r="AF342">
        <f t="shared" si="283"/>
        <v>1.0539666349632E-2</v>
      </c>
      <c r="AG342">
        <f t="shared" si="298"/>
        <v>17892.596094858716</v>
      </c>
      <c r="AH342">
        <f t="shared" si="299"/>
        <v>-1389.4926994033781</v>
      </c>
      <c r="AJ342">
        <f t="shared" si="284"/>
        <v>18000</v>
      </c>
      <c r="AK342">
        <f t="shared" si="285"/>
        <v>429950.83025663998</v>
      </c>
      <c r="AL342">
        <v>1</v>
      </c>
      <c r="AM342">
        <f t="shared" si="286"/>
        <v>262.74772960128001</v>
      </c>
      <c r="AN342">
        <f t="shared" si="300"/>
        <v>1636.6006621440697</v>
      </c>
      <c r="AO342">
        <f t="shared" si="301"/>
        <v>-62.277985665898647</v>
      </c>
      <c r="AQ342">
        <f t="shared" si="287"/>
        <v>6.1035118997119749E-3</v>
      </c>
      <c r="AR342">
        <f t="shared" si="288"/>
        <v>-7.8124952316313285</v>
      </c>
      <c r="AT342">
        <f t="shared" ref="AT342:AT405" si="313">-AR342*AH342+AG342*AQ342</f>
        <v>-10746.197415293724</v>
      </c>
      <c r="AU342">
        <f t="shared" ref="AU342:AU405" si="314">AQ342*AH342+AG342*AR342</f>
        <v>-139794.30245781442</v>
      </c>
      <c r="AV342">
        <f t="shared" si="302"/>
        <v>-1.6475169421563511</v>
      </c>
      <c r="AW342">
        <f t="shared" si="303"/>
        <v>41355.521101802464</v>
      </c>
      <c r="AX342">
        <f t="shared" si="304"/>
        <v>-16826.415853657603</v>
      </c>
      <c r="AY342">
        <f t="shared" si="312"/>
        <v>-0.38641669584989286</v>
      </c>
      <c r="BA342">
        <f t="shared" si="289"/>
        <v>3.140297798461964</v>
      </c>
      <c r="BB342">
        <f t="shared" si="305"/>
        <v>9.9394166945610234</v>
      </c>
      <c r="BC342">
        <f t="shared" si="306"/>
        <v>-1.2611002463064582</v>
      </c>
      <c r="BD342">
        <f t="shared" si="290"/>
        <v>-252.25572173883285</v>
      </c>
      <c r="BF342">
        <f t="shared" si="291"/>
        <v>-32.646570874134042</v>
      </c>
      <c r="BG342">
        <f t="shared" si="292"/>
        <v>-163.6115114335218</v>
      </c>
      <c r="BH342">
        <f t="shared" si="307"/>
        <v>16.388488566478202</v>
      </c>
      <c r="BI342">
        <f t="shared" si="308"/>
        <v>16.388488566478202</v>
      </c>
      <c r="BJ342">
        <f t="shared" si="293"/>
        <v>0</v>
      </c>
      <c r="BK342">
        <f t="shared" si="309"/>
        <v>0</v>
      </c>
      <c r="BM342">
        <f t="shared" si="310"/>
        <v>-42.585987568695067</v>
      </c>
      <c r="BN342">
        <f t="shared" si="294"/>
        <v>-91.35578969468898</v>
      </c>
      <c r="BQ342" s="66">
        <f t="shared" si="311"/>
        <v>26.84137749484616</v>
      </c>
      <c r="BR342" s="71"/>
      <c r="BS342" s="71"/>
      <c r="BT342" s="71">
        <v>208929.61300000001</v>
      </c>
      <c r="BU342" s="71">
        <v>13.1541</v>
      </c>
      <c r="BV342" s="71">
        <v>-149.92099999999999</v>
      </c>
      <c r="BY342" s="71"/>
      <c r="BZ342" s="71"/>
      <c r="CA342" s="71"/>
      <c r="CC342" s="71"/>
    </row>
    <row r="343" spans="1:81" x14ac:dyDescent="0.2">
      <c r="A343">
        <f t="shared" si="263"/>
        <v>645000</v>
      </c>
      <c r="B343">
        <f t="shared" si="295"/>
        <v>645</v>
      </c>
      <c r="C343">
        <f t="shared" si="264"/>
        <v>40.133740012932677</v>
      </c>
      <c r="D343">
        <f t="shared" si="265"/>
        <v>1.5458770568195903</v>
      </c>
      <c r="F343">
        <f t="shared" si="266"/>
        <v>1.2238207070163085E-5</v>
      </c>
      <c r="G343">
        <f t="shared" si="267"/>
        <v>1.4396269855200166E-3</v>
      </c>
      <c r="H343">
        <f t="shared" si="268"/>
        <v>-3.1401530230144803</v>
      </c>
      <c r="J343">
        <f t="shared" si="269"/>
        <v>15</v>
      </c>
      <c r="M343">
        <f t="shared" si="270"/>
        <v>5.2302312526353728E-3</v>
      </c>
      <c r="N343">
        <f t="shared" si="271"/>
        <v>-1.5707963250000001</v>
      </c>
      <c r="O343">
        <f t="shared" si="272"/>
        <v>191.12580318831749</v>
      </c>
      <c r="P343">
        <f t="shared" si="273"/>
        <v>1.5655641470161841</v>
      </c>
      <c r="Q343">
        <f t="shared" si="274"/>
        <v>264.80233444639856</v>
      </c>
      <c r="R343">
        <f t="shared" si="275"/>
        <v>1.5670199160658362</v>
      </c>
      <c r="S343">
        <f t="shared" si="276"/>
        <v>4.1504919841208451E-2</v>
      </c>
      <c r="T343">
        <f t="shared" si="277"/>
        <v>-1.5292794812403376</v>
      </c>
      <c r="U343">
        <f t="shared" si="278"/>
        <v>0.99735189643911082</v>
      </c>
      <c r="V343">
        <f t="shared" si="279"/>
        <v>-7.2791113866881071E-2</v>
      </c>
      <c r="X343">
        <f t="shared" si="296"/>
        <v>-21.859425782850501</v>
      </c>
      <c r="Y343">
        <f t="shared" si="280"/>
        <v>-93.653322043396003</v>
      </c>
      <c r="Z343">
        <f t="shared" si="297"/>
        <v>86.346677956603997</v>
      </c>
      <c r="AC343">
        <v>1</v>
      </c>
      <c r="AD343">
        <f t="shared" si="281"/>
        <v>191.12318709246003</v>
      </c>
      <c r="AE343">
        <f t="shared" si="282"/>
        <v>-7.7455624776037897E-4</v>
      </c>
      <c r="AF343">
        <f t="shared" si="283"/>
        <v>1.06220074929885E-2</v>
      </c>
      <c r="AG343">
        <f t="shared" si="298"/>
        <v>17891.134534980196</v>
      </c>
      <c r="AH343">
        <f t="shared" si="299"/>
        <v>-1398.7647856017645</v>
      </c>
      <c r="AJ343">
        <f t="shared" si="284"/>
        <v>18000</v>
      </c>
      <c r="AK343">
        <f t="shared" si="285"/>
        <v>433309.82111801999</v>
      </c>
      <c r="AL343">
        <v>1</v>
      </c>
      <c r="AM343">
        <f t="shared" si="286"/>
        <v>264.80044623878996</v>
      </c>
      <c r="AN343">
        <f t="shared" si="300"/>
        <v>1636.5970016214549</v>
      </c>
      <c r="AO343">
        <f t="shared" si="301"/>
        <v>-61.795224406919864</v>
      </c>
      <c r="AQ343">
        <f t="shared" si="287"/>
        <v>6.0092506404358873E-3</v>
      </c>
      <c r="AR343">
        <f t="shared" si="288"/>
        <v>-7.7519333261622938</v>
      </c>
      <c r="AT343">
        <f t="shared" si="313"/>
        <v>-10735.619045306119</v>
      </c>
      <c r="AU343">
        <f t="shared" si="314"/>
        <v>-138699.28757274983</v>
      </c>
      <c r="AV343">
        <f t="shared" si="302"/>
        <v>-1.6480444267973182</v>
      </c>
      <c r="AW343">
        <f t="shared" si="303"/>
        <v>41359.613081280113</v>
      </c>
      <c r="AX343">
        <f t="shared" si="304"/>
        <v>-16740.972899929893</v>
      </c>
      <c r="AY343">
        <f t="shared" si="312"/>
        <v>-0.3846083946037</v>
      </c>
      <c r="BA343">
        <f t="shared" si="289"/>
        <v>3.1178053551086369</v>
      </c>
      <c r="BB343">
        <f t="shared" si="305"/>
        <v>9.8769799730481012</v>
      </c>
      <c r="BC343">
        <f t="shared" si="306"/>
        <v>-1.2634360321936182</v>
      </c>
      <c r="BD343">
        <f t="shared" si="290"/>
        <v>-252.38955241216627</v>
      </c>
      <c r="BF343">
        <f t="shared" si="291"/>
        <v>-32.776646242779648</v>
      </c>
      <c r="BG343">
        <f t="shared" si="292"/>
        <v>-163.73483675865214</v>
      </c>
      <c r="BH343">
        <f t="shared" si="307"/>
        <v>16.265163241347864</v>
      </c>
      <c r="BI343">
        <f t="shared" si="308"/>
        <v>16.265163241347864</v>
      </c>
      <c r="BJ343">
        <f t="shared" si="293"/>
        <v>0</v>
      </c>
      <c r="BK343">
        <f t="shared" si="309"/>
        <v>0</v>
      </c>
      <c r="BM343">
        <f t="shared" si="310"/>
        <v>-42.653626215827749</v>
      </c>
      <c r="BN343">
        <f t="shared" si="294"/>
        <v>-91.345284346485911</v>
      </c>
      <c r="BQ343" s="66">
        <f t="shared" si="311"/>
        <v>26.77894077333324</v>
      </c>
      <c r="BR343" s="71"/>
      <c r="BS343" s="71"/>
      <c r="BT343" s="71">
        <v>213796.209</v>
      </c>
      <c r="BU343" s="71">
        <v>13.368399999999999</v>
      </c>
      <c r="BV343" s="71">
        <v>-151.101</v>
      </c>
      <c r="BY343" s="71"/>
      <c r="BZ343" s="71"/>
      <c r="CA343" s="71"/>
      <c r="CC343" s="71"/>
    </row>
    <row r="344" spans="1:81" x14ac:dyDescent="0.2">
      <c r="A344">
        <f t="shared" si="263"/>
        <v>650000</v>
      </c>
      <c r="B344">
        <f t="shared" si="295"/>
        <v>650</v>
      </c>
      <c r="C344">
        <f t="shared" si="264"/>
        <v>40.444661866392238</v>
      </c>
      <c r="D344">
        <f t="shared" si="265"/>
        <v>1.5460686650798232</v>
      </c>
      <c r="F344">
        <f t="shared" si="266"/>
        <v>1.2050649027711129E-5</v>
      </c>
      <c r="G344">
        <f t="shared" si="267"/>
        <v>1.4285526767058216E-3</v>
      </c>
      <c r="H344">
        <f t="shared" si="268"/>
        <v>-3.1401640973232943</v>
      </c>
      <c r="J344">
        <f t="shared" si="269"/>
        <v>15</v>
      </c>
      <c r="M344">
        <f t="shared" si="270"/>
        <v>5.1899987045381773E-3</v>
      </c>
      <c r="N344">
        <f t="shared" si="271"/>
        <v>-1.5707963250000001</v>
      </c>
      <c r="O344">
        <f t="shared" si="272"/>
        <v>192.6073581585155</v>
      </c>
      <c r="P344">
        <f t="shared" si="273"/>
        <v>1.5656043938268644</v>
      </c>
      <c r="Q344">
        <f t="shared" si="274"/>
        <v>266.85503655933701</v>
      </c>
      <c r="R344">
        <f t="shared" si="275"/>
        <v>1.5670489651061292</v>
      </c>
      <c r="S344">
        <f t="shared" si="276"/>
        <v>4.1186194898785826E-2</v>
      </c>
      <c r="T344">
        <f t="shared" si="277"/>
        <v>-1.5295984789568806</v>
      </c>
      <c r="U344">
        <f t="shared" si="278"/>
        <v>0.99731084754091681</v>
      </c>
      <c r="V344">
        <f t="shared" si="279"/>
        <v>-7.3353371850979968E-2</v>
      </c>
      <c r="X344">
        <f t="shared" si="296"/>
        <v>-21.926787063868453</v>
      </c>
      <c r="Y344">
        <f t="shared" si="280"/>
        <v>-93.689500082482326</v>
      </c>
      <c r="Z344">
        <f t="shared" si="297"/>
        <v>86.310499917517674</v>
      </c>
      <c r="AC344">
        <v>1</v>
      </c>
      <c r="AD344">
        <f t="shared" si="281"/>
        <v>192.60476218620002</v>
      </c>
      <c r="AE344">
        <f t="shared" si="282"/>
        <v>-7.8661141681091304E-4</v>
      </c>
      <c r="AF344">
        <f t="shared" si="283"/>
        <v>1.0704348636345E-2</v>
      </c>
      <c r="AG344">
        <f t="shared" si="298"/>
        <v>17889.661842645</v>
      </c>
      <c r="AH344">
        <f t="shared" si="299"/>
        <v>-1408.0457167786644</v>
      </c>
      <c r="AJ344">
        <f t="shared" si="284"/>
        <v>18000</v>
      </c>
      <c r="AK344">
        <f t="shared" si="285"/>
        <v>436668.81197939994</v>
      </c>
      <c r="AL344">
        <v>1</v>
      </c>
      <c r="AM344">
        <f t="shared" si="286"/>
        <v>266.85316287630002</v>
      </c>
      <c r="AN344">
        <f t="shared" si="300"/>
        <v>1636.5934252455365</v>
      </c>
      <c r="AO344">
        <f t="shared" si="301"/>
        <v>-61.319889928903464</v>
      </c>
      <c r="AQ344">
        <f t="shared" si="287"/>
        <v>5.9171562620377151E-3</v>
      </c>
      <c r="AR344">
        <f t="shared" si="288"/>
        <v>-7.6923031406490292</v>
      </c>
      <c r="AT344">
        <f t="shared" si="313"/>
        <v>-10725.25856475599</v>
      </c>
      <c r="AU344">
        <f t="shared" si="314"/>
        <v>-137621.0336038575</v>
      </c>
      <c r="AV344">
        <f t="shared" si="302"/>
        <v>-1.6485724009964</v>
      </c>
      <c r="AW344">
        <f t="shared" si="303"/>
        <v>41363.510507740859</v>
      </c>
      <c r="AX344">
        <f t="shared" si="304"/>
        <v>-16657.185568379165</v>
      </c>
      <c r="AY344">
        <f t="shared" si="312"/>
        <v>-0.38283387196859398</v>
      </c>
      <c r="BA344">
        <f t="shared" si="289"/>
        <v>3.0956197842699433</v>
      </c>
      <c r="BB344">
        <f t="shared" si="305"/>
        <v>9.8149522719111797</v>
      </c>
      <c r="BC344">
        <f t="shared" si="306"/>
        <v>-1.265738529027806</v>
      </c>
      <c r="BD344">
        <f t="shared" si="290"/>
        <v>-252.5214757632582</v>
      </c>
      <c r="BF344">
        <f t="shared" si="291"/>
        <v>-32.905789610910347</v>
      </c>
      <c r="BG344">
        <f t="shared" si="292"/>
        <v>-163.85641627625714</v>
      </c>
      <c r="BH344">
        <f t="shared" si="307"/>
        <v>16.143583723742864</v>
      </c>
      <c r="BI344">
        <f t="shared" si="308"/>
        <v>16.143583723742864</v>
      </c>
      <c r="BJ344">
        <f t="shared" si="293"/>
        <v>0</v>
      </c>
      <c r="BK344">
        <f t="shared" si="309"/>
        <v>0</v>
      </c>
      <c r="BM344">
        <f t="shared" si="310"/>
        <v>-42.720741882821528</v>
      </c>
      <c r="BN344">
        <f t="shared" si="294"/>
        <v>-91.334940512998969</v>
      </c>
      <c r="BQ344" s="66">
        <f t="shared" si="311"/>
        <v>26.71691307219632</v>
      </c>
      <c r="BR344" s="71"/>
      <c r="BS344" s="71"/>
      <c r="BT344" s="71">
        <v>218776.16200000001</v>
      </c>
      <c r="BU344" s="71">
        <v>13.6015</v>
      </c>
      <c r="BV344" s="71">
        <v>-153.08699999999999</v>
      </c>
      <c r="BY344" s="71"/>
      <c r="BZ344" s="71"/>
      <c r="CA344" s="71"/>
      <c r="CC344" s="71"/>
    </row>
    <row r="345" spans="1:81" x14ac:dyDescent="0.2">
      <c r="A345">
        <f t="shared" si="263"/>
        <v>655000</v>
      </c>
      <c r="B345">
        <f t="shared" si="295"/>
        <v>655</v>
      </c>
      <c r="C345">
        <f t="shared" si="264"/>
        <v>40.75558518206995</v>
      </c>
      <c r="D345">
        <f t="shared" si="265"/>
        <v>1.5462573497978747</v>
      </c>
      <c r="F345">
        <f t="shared" si="266"/>
        <v>1.1867369855314788E-5</v>
      </c>
      <c r="G345">
        <f t="shared" si="267"/>
        <v>1.4176474470834869E-3</v>
      </c>
      <c r="H345">
        <f t="shared" si="268"/>
        <v>-3.1401750025529167</v>
      </c>
      <c r="J345">
        <f t="shared" si="269"/>
        <v>15</v>
      </c>
      <c r="M345">
        <f t="shared" si="270"/>
        <v>5.1503803938165119E-3</v>
      </c>
      <c r="N345">
        <f t="shared" si="271"/>
        <v>-1.5707963250000001</v>
      </c>
      <c r="O345">
        <f t="shared" si="272"/>
        <v>194.08891343593697</v>
      </c>
      <c r="P345">
        <f t="shared" si="273"/>
        <v>1.5656440261988573</v>
      </c>
      <c r="Q345">
        <f t="shared" si="274"/>
        <v>268.90773889402237</v>
      </c>
      <c r="R345">
        <f t="shared" si="275"/>
        <v>1.5670775706558042</v>
      </c>
      <c r="S345">
        <f t="shared" si="276"/>
        <v>4.0872323698422357E-2</v>
      </c>
      <c r="T345">
        <f t="shared" si="277"/>
        <v>-1.529912614677966</v>
      </c>
      <c r="U345">
        <f t="shared" si="278"/>
        <v>0.99726948678970651</v>
      </c>
      <c r="V345">
        <f t="shared" si="279"/>
        <v>-7.391558337656369E-2</v>
      </c>
      <c r="X345">
        <f t="shared" si="296"/>
        <v>-21.993638675489375</v>
      </c>
      <c r="Y345">
        <f t="shared" si="280"/>
        <v>-93.725615321860332</v>
      </c>
      <c r="Z345">
        <f t="shared" si="297"/>
        <v>86.274384678139668</v>
      </c>
      <c r="AC345">
        <v>1</v>
      </c>
      <c r="AD345">
        <f t="shared" si="281"/>
        <v>194.08633727994001</v>
      </c>
      <c r="AE345">
        <f t="shared" si="282"/>
        <v>-7.9875967596994551E-4</v>
      </c>
      <c r="AF345">
        <f t="shared" si="283"/>
        <v>1.07866897797015E-2</v>
      </c>
      <c r="AG345">
        <f t="shared" si="298"/>
        <v>17888.178023410012</v>
      </c>
      <c r="AH345">
        <f t="shared" si="299"/>
        <v>-1417.3352153356129</v>
      </c>
      <c r="AJ345">
        <f t="shared" si="284"/>
        <v>18000</v>
      </c>
      <c r="AK345">
        <f t="shared" si="285"/>
        <v>440027.80284078</v>
      </c>
      <c r="AL345">
        <v>1</v>
      </c>
      <c r="AM345">
        <f t="shared" si="286"/>
        <v>268.90587951381002</v>
      </c>
      <c r="AN345">
        <f t="shared" si="300"/>
        <v>1636.5899304568422</v>
      </c>
      <c r="AO345">
        <f t="shared" si="301"/>
        <v>-60.85181216241422</v>
      </c>
      <c r="AQ345">
        <f t="shared" si="287"/>
        <v>5.8271628534684143E-3</v>
      </c>
      <c r="AR345">
        <f t="shared" si="288"/>
        <v>-7.6335833380436231</v>
      </c>
      <c r="AT345">
        <f t="shared" si="313"/>
        <v>-10715.10915771416</v>
      </c>
      <c r="AU345">
        <f t="shared" si="314"/>
        <v>-136559.15675057849</v>
      </c>
      <c r="AV345">
        <f t="shared" si="302"/>
        <v>-1.6491008521371475</v>
      </c>
      <c r="AW345">
        <f t="shared" si="303"/>
        <v>41367.218550601247</v>
      </c>
      <c r="AX345">
        <f t="shared" si="304"/>
        <v>-16575.015751901199</v>
      </c>
      <c r="AY345">
        <f t="shared" si="312"/>
        <v>-0.38109241783717013</v>
      </c>
      <c r="BA345">
        <f t="shared" si="289"/>
        <v>3.0737351344521855</v>
      </c>
      <c r="BB345">
        <f t="shared" si="305"/>
        <v>9.7533288273486605</v>
      </c>
      <c r="BC345">
        <f t="shared" si="306"/>
        <v>-1.2680084342999773</v>
      </c>
      <c r="BD345">
        <f t="shared" si="290"/>
        <v>-252.65153175539672</v>
      </c>
      <c r="BF345">
        <f t="shared" si="291"/>
        <v>-33.034013772653871</v>
      </c>
      <c r="BG345">
        <f t="shared" si="292"/>
        <v>-163.97628625401305</v>
      </c>
      <c r="BH345">
        <f t="shared" si="307"/>
        <v>16.023713745986953</v>
      </c>
      <c r="BI345">
        <f t="shared" si="308"/>
        <v>16.023713745986953</v>
      </c>
      <c r="BJ345">
        <f t="shared" si="293"/>
        <v>0</v>
      </c>
      <c r="BK345">
        <f t="shared" si="309"/>
        <v>0</v>
      </c>
      <c r="BM345">
        <f t="shared" si="310"/>
        <v>-42.787342600002532</v>
      </c>
      <c r="BN345">
        <f t="shared" si="294"/>
        <v>-91.324754498616358</v>
      </c>
      <c r="BQ345" s="66">
        <f t="shared" si="311"/>
        <v>26.655289627633799</v>
      </c>
      <c r="BR345" s="71"/>
      <c r="BS345" s="71"/>
      <c r="BT345" s="71">
        <v>223872.114</v>
      </c>
      <c r="BU345" s="71">
        <v>13.8704</v>
      </c>
      <c r="BV345" s="71">
        <v>-154.70699999999999</v>
      </c>
      <c r="BY345" s="71"/>
      <c r="BZ345" s="71"/>
      <c r="CA345" s="71"/>
      <c r="CC345" s="71"/>
    </row>
    <row r="346" spans="1:81" x14ac:dyDescent="0.2">
      <c r="A346">
        <f t="shared" si="263"/>
        <v>660000</v>
      </c>
      <c r="B346">
        <f t="shared" si="295"/>
        <v>660</v>
      </c>
      <c r="C346">
        <f t="shared" si="264"/>
        <v>41.066509926753518</v>
      </c>
      <c r="D346">
        <f t="shared" si="265"/>
        <v>1.546443177364746</v>
      </c>
      <c r="F346">
        <f t="shared" si="266"/>
        <v>1.1688240380308717E-5</v>
      </c>
      <c r="G346">
        <f t="shared" si="267"/>
        <v>1.4069074537710936E-3</v>
      </c>
      <c r="H346">
        <f t="shared" si="268"/>
        <v>-3.1401857425462292</v>
      </c>
      <c r="J346">
        <f t="shared" si="269"/>
        <v>15</v>
      </c>
      <c r="M346">
        <f t="shared" si="270"/>
        <v>5.1113623605300229E-3</v>
      </c>
      <c r="N346">
        <f t="shared" si="271"/>
        <v>-1.5707963250000001</v>
      </c>
      <c r="O346">
        <f t="shared" si="272"/>
        <v>195.57046901359976</v>
      </c>
      <c r="P346">
        <f t="shared" si="273"/>
        <v>1.5656830580961858</v>
      </c>
      <c r="Q346">
        <f t="shared" si="274"/>
        <v>270.96044144541492</v>
      </c>
      <c r="R346">
        <f t="shared" si="275"/>
        <v>1.5671057427940087</v>
      </c>
      <c r="S346">
        <f t="shared" si="276"/>
        <v>4.0563196295162793E-2</v>
      </c>
      <c r="T346">
        <f t="shared" si="277"/>
        <v>-1.5302219986582715</v>
      </c>
      <c r="U346">
        <f t="shared" si="278"/>
        <v>0.99722781430271312</v>
      </c>
      <c r="V346">
        <f t="shared" si="279"/>
        <v>-7.4477748094024798E-2</v>
      </c>
      <c r="X346">
        <f t="shared" si="296"/>
        <v>-22.059988386839091</v>
      </c>
      <c r="Y346">
        <f t="shared" si="280"/>
        <v>-93.761669097311298</v>
      </c>
      <c r="Z346">
        <f t="shared" si="297"/>
        <v>86.238330902688702</v>
      </c>
      <c r="AC346">
        <v>1</v>
      </c>
      <c r="AD346">
        <f t="shared" si="281"/>
        <v>195.56791237368003</v>
      </c>
      <c r="AE346">
        <f t="shared" si="282"/>
        <v>-8.1100102523747638E-4</v>
      </c>
      <c r="AF346">
        <f t="shared" si="283"/>
        <v>1.0869030923058E-2</v>
      </c>
      <c r="AG346">
        <f t="shared" si="298"/>
        <v>17886.683082872689</v>
      </c>
      <c r="AH346">
        <f t="shared" si="299"/>
        <v>-1426.633011542204</v>
      </c>
      <c r="AJ346">
        <f t="shared" si="284"/>
        <v>18000</v>
      </c>
      <c r="AK346">
        <f t="shared" si="285"/>
        <v>443386.79370216001</v>
      </c>
      <c r="AL346">
        <v>1</v>
      </c>
      <c r="AM346">
        <f t="shared" si="286"/>
        <v>270.95859615131997</v>
      </c>
      <c r="AN346">
        <f t="shared" si="300"/>
        <v>1636.5865147924781</v>
      </c>
      <c r="AO346">
        <f t="shared" si="301"/>
        <v>-60.390826191279722</v>
      </c>
      <c r="AQ346">
        <f t="shared" si="287"/>
        <v>5.7392069908132511E-3</v>
      </c>
      <c r="AR346">
        <f t="shared" si="288"/>
        <v>-7.5757532278734914</v>
      </c>
      <c r="AT346">
        <f t="shared" si="313"/>
        <v>-10705.164265590049</v>
      </c>
      <c r="AU346">
        <f t="shared" si="314"/>
        <v>-135513.28484317611</v>
      </c>
      <c r="AV346">
        <f t="shared" si="302"/>
        <v>-1.6496297679749858</v>
      </c>
      <c r="AW346">
        <f t="shared" si="303"/>
        <v>41370.742184780196</v>
      </c>
      <c r="AX346">
        <f t="shared" si="304"/>
        <v>-16494.426497810644</v>
      </c>
      <c r="AY346">
        <f t="shared" si="312"/>
        <v>-0.379383341388976</v>
      </c>
      <c r="BA346">
        <f t="shared" si="289"/>
        <v>3.0521455985306232</v>
      </c>
      <c r="BB346">
        <f t="shared" si="305"/>
        <v>9.6921049443081326</v>
      </c>
      <c r="BC346">
        <f t="shared" si="306"/>
        <v>-1.2702464265860098</v>
      </c>
      <c r="BD346">
        <f t="shared" si="290"/>
        <v>-252.77975926811573</v>
      </c>
      <c r="BF346">
        <f t="shared" si="291"/>
        <v>-33.161331269727611</v>
      </c>
      <c r="BG346">
        <f t="shared" si="292"/>
        <v>-164.09448198771048</v>
      </c>
      <c r="BH346">
        <f t="shared" si="307"/>
        <v>15.905518012289519</v>
      </c>
      <c r="BI346">
        <f t="shared" si="308"/>
        <v>15.905518012289519</v>
      </c>
      <c r="BJ346">
        <f t="shared" si="293"/>
        <v>0</v>
      </c>
      <c r="BK346">
        <f t="shared" si="309"/>
        <v>0</v>
      </c>
      <c r="BM346">
        <f t="shared" si="310"/>
        <v>-42.853436214035753</v>
      </c>
      <c r="BN346">
        <f t="shared" si="294"/>
        <v>-91.314722719594769</v>
      </c>
      <c r="BQ346" s="66">
        <f t="shared" si="311"/>
        <v>26.594065744593269</v>
      </c>
      <c r="BR346" s="71"/>
      <c r="BS346" s="71"/>
      <c r="BT346" s="71">
        <v>229086.76500000001</v>
      </c>
      <c r="BU346" s="71">
        <v>14.1297</v>
      </c>
      <c r="BV346" s="71">
        <v>-156.46</v>
      </c>
      <c r="BY346" s="71"/>
      <c r="BZ346" s="71"/>
      <c r="CA346" s="71"/>
      <c r="CC346" s="71"/>
    </row>
    <row r="347" spans="1:81" x14ac:dyDescent="0.2">
      <c r="A347">
        <f t="shared" si="263"/>
        <v>665000</v>
      </c>
      <c r="B347">
        <f t="shared" si="295"/>
        <v>665</v>
      </c>
      <c r="C347">
        <f t="shared" si="264"/>
        <v>41.377436068228761</v>
      </c>
      <c r="D347">
        <f t="shared" si="265"/>
        <v>1.5466262121766907</v>
      </c>
      <c r="F347">
        <f t="shared" si="266"/>
        <v>1.1513136267920878E-5</v>
      </c>
      <c r="G347">
        <f t="shared" si="267"/>
        <v>1.3963289694685498E-3</v>
      </c>
      <c r="H347">
        <f t="shared" si="268"/>
        <v>-3.1401963210305315</v>
      </c>
      <c r="J347">
        <f t="shared" si="269"/>
        <v>15</v>
      </c>
      <c r="M347">
        <f t="shared" si="270"/>
        <v>5.0729310645861881E-3</v>
      </c>
      <c r="N347">
        <f t="shared" si="271"/>
        <v>-1.5707963250000001</v>
      </c>
      <c r="O347">
        <f t="shared" si="272"/>
        <v>197.05202488473171</v>
      </c>
      <c r="P347">
        <f t="shared" si="273"/>
        <v>1.565721503062921</v>
      </c>
      <c r="Q347">
        <f t="shared" si="274"/>
        <v>273.01314420862667</v>
      </c>
      <c r="R347">
        <f t="shared" si="275"/>
        <v>1.567133491296764</v>
      </c>
      <c r="S347">
        <f t="shared" si="276"/>
        <v>4.0258706037045525E-2</v>
      </c>
      <c r="T347">
        <f t="shared" si="277"/>
        <v>-1.5305267378456411</v>
      </c>
      <c r="U347">
        <f t="shared" si="278"/>
        <v>0.99718583019802742</v>
      </c>
      <c r="V347">
        <f t="shared" si="279"/>
        <v>-7.5039865653932392E-2</v>
      </c>
      <c r="X347">
        <f t="shared" si="296"/>
        <v>-22.125843791812482</v>
      </c>
      <c r="Y347">
        <f t="shared" si="280"/>
        <v>-93.797662704256481</v>
      </c>
      <c r="Z347">
        <f t="shared" si="297"/>
        <v>86.202337295743519</v>
      </c>
      <c r="AC347">
        <v>1</v>
      </c>
      <c r="AD347">
        <f t="shared" si="281"/>
        <v>197.04948746742002</v>
      </c>
      <c r="AE347">
        <f t="shared" si="282"/>
        <v>-8.2333546461350546E-4</v>
      </c>
      <c r="AF347">
        <f t="shared" si="283"/>
        <v>1.09513720664145E-2</v>
      </c>
      <c r="AG347">
        <f t="shared" si="298"/>
        <v>17885.177026671041</v>
      </c>
      <c r="AH347">
        <f t="shared" si="299"/>
        <v>-1435.9388432409964</v>
      </c>
      <c r="AJ347">
        <f t="shared" si="284"/>
        <v>18000</v>
      </c>
      <c r="AK347">
        <f t="shared" si="285"/>
        <v>446745.78456353996</v>
      </c>
      <c r="AL347">
        <v>1</v>
      </c>
      <c r="AM347">
        <f t="shared" si="286"/>
        <v>273.01131278883003</v>
      </c>
      <c r="AN347">
        <f t="shared" si="300"/>
        <v>1636.5831758817851</v>
      </c>
      <c r="AO347">
        <f t="shared" si="301"/>
        <v>-59.936772058874574</v>
      </c>
      <c r="AQ347">
        <f t="shared" si="287"/>
        <v>5.6532276255143732E-3</v>
      </c>
      <c r="AR347">
        <f t="shared" si="288"/>
        <v>-7.5187927419341163</v>
      </c>
      <c r="AT347">
        <f t="shared" si="313"/>
        <v>-10695.417575567284</v>
      </c>
      <c r="AU347">
        <f t="shared" si="314"/>
        <v>-134483.05690547818</v>
      </c>
      <c r="AV347">
        <f t="shared" si="302"/>
        <v>-1.6501591366232413</v>
      </c>
      <c r="AW347">
        <f t="shared" si="303"/>
        <v>41374.086199443889</v>
      </c>
      <c r="AX347">
        <f t="shared" si="304"/>
        <v>-16415.381964404078</v>
      </c>
      <c r="AY347">
        <f t="shared" si="312"/>
        <v>-0.37770597045468773</v>
      </c>
      <c r="BA347">
        <f t="shared" si="289"/>
        <v>3.03084550972557</v>
      </c>
      <c r="BB347">
        <f t="shared" si="305"/>
        <v>9.6312759956886342</v>
      </c>
      <c r="BC347">
        <f t="shared" si="306"/>
        <v>-1.2724531661685536</v>
      </c>
      <c r="BD347">
        <f t="shared" si="290"/>
        <v>-252.90619613282445</v>
      </c>
      <c r="BF347">
        <f t="shared" si="291"/>
        <v>-33.287754397797926</v>
      </c>
      <c r="BG347">
        <f t="shared" si="292"/>
        <v>-164.21103783268367</v>
      </c>
      <c r="BH347">
        <f t="shared" si="307"/>
        <v>15.788962167316328</v>
      </c>
      <c r="BI347">
        <f t="shared" si="308"/>
        <v>15.788962167316328</v>
      </c>
      <c r="BJ347">
        <f t="shared" si="293"/>
        <v>0</v>
      </c>
      <c r="BK347">
        <f t="shared" si="309"/>
        <v>0</v>
      </c>
      <c r="BM347">
        <f t="shared" si="310"/>
        <v>-42.919030393486565</v>
      </c>
      <c r="BN347">
        <f t="shared" si="294"/>
        <v>-91.304841699859239</v>
      </c>
      <c r="BQ347" s="66">
        <f t="shared" si="311"/>
        <v>26.533236795973771</v>
      </c>
      <c r="BR347" s="71"/>
      <c r="BS347" s="71"/>
      <c r="BT347" s="71">
        <v>234422.88200000001</v>
      </c>
      <c r="BU347" s="71">
        <v>14.451599999999999</v>
      </c>
      <c r="BV347" s="71">
        <v>-158.77500000000001</v>
      </c>
      <c r="BY347" s="71"/>
      <c r="BZ347" s="71"/>
      <c r="CA347" s="71"/>
      <c r="CC347" s="71"/>
    </row>
    <row r="348" spans="1:81" x14ac:dyDescent="0.2">
      <c r="A348">
        <f t="shared" si="263"/>
        <v>670000</v>
      </c>
      <c r="B348">
        <f t="shared" si="295"/>
        <v>670</v>
      </c>
      <c r="C348">
        <f t="shared" si="264"/>
        <v>41.688363575242427</v>
      </c>
      <c r="D348">
        <f t="shared" si="265"/>
        <v>1.5468065167095577</v>
      </c>
      <c r="F348">
        <f t="shared" si="266"/>
        <v>1.1341937805457506E-5</v>
      </c>
      <c r="G348">
        <f t="shared" si="267"/>
        <v>1.3859083781445508E-3</v>
      </c>
      <c r="H348">
        <f t="shared" si="268"/>
        <v>-3.1402067416218555</v>
      </c>
      <c r="J348">
        <f t="shared" si="269"/>
        <v>15</v>
      </c>
      <c r="M348">
        <f t="shared" si="270"/>
        <v>5.0350733700743507E-3</v>
      </c>
      <c r="N348">
        <f t="shared" si="271"/>
        <v>-1.5707963250000001</v>
      </c>
      <c r="O348">
        <f t="shared" si="272"/>
        <v>198.53358104276271</v>
      </c>
      <c r="P348">
        <f t="shared" si="273"/>
        <v>1.5657593742388505</v>
      </c>
      <c r="Q348">
        <f t="shared" si="274"/>
        <v>275.06584717891542</v>
      </c>
      <c r="R348">
        <f t="shared" si="275"/>
        <v>1.567160825648277</v>
      </c>
      <c r="S348">
        <f t="shared" si="276"/>
        <v>3.99587494428311E-2</v>
      </c>
      <c r="T348">
        <f t="shared" si="277"/>
        <v>-1.5308269360040736</v>
      </c>
      <c r="U348">
        <f t="shared" si="278"/>
        <v>0.99714353459459681</v>
      </c>
      <c r="V348">
        <f t="shared" si="279"/>
        <v>-7.5601935707033441E-2</v>
      </c>
      <c r="X348">
        <f t="shared" si="296"/>
        <v>-22.191212314298081</v>
      </c>
      <c r="Y348">
        <f t="shared" si="280"/>
        <v>-93.833597399245861</v>
      </c>
      <c r="Z348">
        <f t="shared" si="297"/>
        <v>86.166402600754139</v>
      </c>
      <c r="AC348">
        <v>1</v>
      </c>
      <c r="AD348">
        <f t="shared" si="281"/>
        <v>198.53106256116001</v>
      </c>
      <c r="AE348">
        <f t="shared" si="282"/>
        <v>-8.3576299409803293E-4</v>
      </c>
      <c r="AF348">
        <f t="shared" si="283"/>
        <v>1.1033713209771001E-2</v>
      </c>
      <c r="AG348">
        <f t="shared" si="298"/>
        <v>17883.659860483564</v>
      </c>
      <c r="AH348">
        <f t="shared" si="299"/>
        <v>-1445.252455565638</v>
      </c>
      <c r="AJ348">
        <f t="shared" si="284"/>
        <v>18000</v>
      </c>
      <c r="AK348">
        <f t="shared" si="285"/>
        <v>450104.77542491996</v>
      </c>
      <c r="AL348">
        <v>1</v>
      </c>
      <c r="AM348">
        <f t="shared" si="286"/>
        <v>275.06402942634003</v>
      </c>
      <c r="AN348">
        <f t="shared" si="300"/>
        <v>1636.5799114422321</v>
      </c>
      <c r="AO348">
        <f t="shared" si="301"/>
        <v>-59.489494583077658</v>
      </c>
      <c r="AQ348">
        <f t="shared" si="287"/>
        <v>5.5691659784105714E-3</v>
      </c>
      <c r="AR348">
        <f t="shared" si="288"/>
        <v>-7.4626824110701655</v>
      </c>
      <c r="AT348">
        <f t="shared" si="313"/>
        <v>-10685.86300964118</v>
      </c>
      <c r="AU348">
        <f t="shared" si="314"/>
        <v>-133468.12273719799</v>
      </c>
      <c r="AV348">
        <f t="shared" si="302"/>
        <v>-1.6506889465397963</v>
      </c>
      <c r="AW348">
        <f t="shared" si="303"/>
        <v>41377.255206295478</v>
      </c>
      <c r="AX348">
        <f t="shared" si="304"/>
        <v>-16337.847379470146</v>
      </c>
      <c r="AY348">
        <f t="shared" si="312"/>
        <v>-0.37605965090467142</v>
      </c>
      <c r="BA348">
        <f t="shared" si="289"/>
        <v>3.0098293376966763</v>
      </c>
      <c r="BB348">
        <f t="shared" si="305"/>
        <v>9.5708374215256331</v>
      </c>
      <c r="BC348">
        <f t="shared" si="306"/>
        <v>-1.2746292956351248</v>
      </c>
      <c r="BD348">
        <f t="shared" si="290"/>
        <v>-253.03087916707548</v>
      </c>
      <c r="BF348">
        <f t="shared" si="291"/>
        <v>-33.41329521264776</v>
      </c>
      <c r="BG348">
        <f t="shared" si="292"/>
        <v>-164.32598723406616</v>
      </c>
      <c r="BH348">
        <f t="shared" si="307"/>
        <v>15.674012765933838</v>
      </c>
      <c r="BI348">
        <f t="shared" si="308"/>
        <v>15.674012765933838</v>
      </c>
      <c r="BJ348">
        <f t="shared" si="293"/>
        <v>0</v>
      </c>
      <c r="BK348">
        <f t="shared" si="309"/>
        <v>0</v>
      </c>
      <c r="BM348">
        <f t="shared" si="310"/>
        <v>-42.984132634173385</v>
      </c>
      <c r="BN348">
        <f t="shared" si="294"/>
        <v>-91.295108066990664</v>
      </c>
      <c r="BQ348" s="66">
        <f t="shared" si="311"/>
        <v>26.47279822181077</v>
      </c>
      <c r="BR348" s="71"/>
      <c r="BS348" s="71"/>
      <c r="BT348" s="71">
        <v>239883.29199999999</v>
      </c>
      <c r="BU348" s="71">
        <v>14.4628</v>
      </c>
      <c r="BV348" s="71">
        <v>-161.529</v>
      </c>
      <c r="BY348" s="71"/>
      <c r="BZ348" s="71"/>
      <c r="CA348" s="71"/>
      <c r="CC348" s="71"/>
    </row>
    <row r="349" spans="1:81" x14ac:dyDescent="0.2">
      <c r="A349">
        <f t="shared" si="263"/>
        <v>675000</v>
      </c>
      <c r="B349">
        <f t="shared" si="295"/>
        <v>675</v>
      </c>
      <c r="C349">
        <f t="shared" si="264"/>
        <v>41.999292417466613</v>
      </c>
      <c r="D349">
        <f t="shared" si="265"/>
        <v>1.5469841515898353</v>
      </c>
      <c r="F349">
        <f t="shared" si="266"/>
        <v>1.1174529697637076E-5</v>
      </c>
      <c r="G349">
        <f t="shared" si="267"/>
        <v>1.375642170915246E-3</v>
      </c>
      <c r="H349">
        <f t="shared" si="268"/>
        <v>-3.1402170078290847</v>
      </c>
      <c r="J349">
        <f t="shared" si="269"/>
        <v>15</v>
      </c>
      <c r="M349">
        <f t="shared" si="270"/>
        <v>4.997776530296023E-3</v>
      </c>
      <c r="N349">
        <f t="shared" si="271"/>
        <v>-1.5707963250000001</v>
      </c>
      <c r="O349">
        <f t="shared" si="272"/>
        <v>200.01513748131748</v>
      </c>
      <c r="P349">
        <f t="shared" si="273"/>
        <v>1.5657966843744509</v>
      </c>
      <c r="Q349">
        <f t="shared" si="274"/>
        <v>277.11855035167952</v>
      </c>
      <c r="R349">
        <f t="shared" si="275"/>
        <v>1.567187755051747</v>
      </c>
      <c r="S349">
        <f t="shared" si="276"/>
        <v>3.9663226085134243E-2</v>
      </c>
      <c r="T349">
        <f t="shared" si="277"/>
        <v>-1.5311226938312634</v>
      </c>
      <c r="U349">
        <f t="shared" si="278"/>
        <v>0.99710092761222358</v>
      </c>
      <c r="V349">
        <f t="shared" si="279"/>
        <v>-7.6163957904253982E-2</v>
      </c>
      <c r="X349">
        <f t="shared" si="296"/>
        <v>-22.256101213209639</v>
      </c>
      <c r="Y349">
        <f t="shared" si="280"/>
        <v>-93.869474401381225</v>
      </c>
      <c r="Z349">
        <f t="shared" si="297"/>
        <v>86.130525598618775</v>
      </c>
      <c r="AC349">
        <v>1</v>
      </c>
      <c r="AD349">
        <f t="shared" si="281"/>
        <v>200.01263765490003</v>
      </c>
      <c r="AE349">
        <f t="shared" si="282"/>
        <v>-8.4828361369105882E-4</v>
      </c>
      <c r="AF349">
        <f t="shared" si="283"/>
        <v>1.1116054353127501E-2</v>
      </c>
      <c r="AG349">
        <f t="shared" si="298"/>
        <v>17882.131590029192</v>
      </c>
      <c r="AH349">
        <f t="shared" si="299"/>
        <v>-1454.5736006715206</v>
      </c>
      <c r="AJ349">
        <f t="shared" si="284"/>
        <v>18000</v>
      </c>
      <c r="AK349">
        <f t="shared" si="285"/>
        <v>453463.76628629991</v>
      </c>
      <c r="AL349">
        <v>1</v>
      </c>
      <c r="AM349">
        <f t="shared" si="286"/>
        <v>277.11674606384997</v>
      </c>
      <c r="AN349">
        <f t="shared" si="300"/>
        <v>1636.576719275507</v>
      </c>
      <c r="AO349">
        <f t="shared" si="301"/>
        <v>-59.04884317945271</v>
      </c>
      <c r="AQ349">
        <f t="shared" si="287"/>
        <v>5.4869654392507876E-3</v>
      </c>
      <c r="AR349">
        <f t="shared" si="288"/>
        <v>-7.4074033429885633</v>
      </c>
      <c r="AT349">
        <f t="shared" si="313"/>
        <v>-10676.494714222508</v>
      </c>
      <c r="AU349">
        <f t="shared" si="314"/>
        <v>-132468.14251481937</v>
      </c>
      <c r="AV349">
        <f t="shared" si="302"/>
        <v>-1.651219186514336</v>
      </c>
      <c r="AW349">
        <f t="shared" si="303"/>
        <v>41380.253647436519</v>
      </c>
      <c r="AX349">
        <f t="shared" si="304"/>
        <v>-16261.789000645473</v>
      </c>
      <c r="AY349">
        <f t="shared" si="312"/>
        <v>-0.3744437460608685</v>
      </c>
      <c r="BA349">
        <f t="shared" si="289"/>
        <v>2.989091684752307</v>
      </c>
      <c r="BB349">
        <f t="shared" si="305"/>
        <v>9.5107847281614681</v>
      </c>
      <c r="BC349">
        <f t="shared" si="306"/>
        <v>-1.2767754404534675</v>
      </c>
      <c r="BD349">
        <f t="shared" si="290"/>
        <v>-253.15384420753088</v>
      </c>
      <c r="BF349">
        <f t="shared" si="291"/>
        <v>-33.537965536159049</v>
      </c>
      <c r="BG349">
        <f t="shared" si="292"/>
        <v>-164.43936275592222</v>
      </c>
      <c r="BH349">
        <f t="shared" si="307"/>
        <v>15.560637244077782</v>
      </c>
      <c r="BI349">
        <f t="shared" si="308"/>
        <v>15.560637244077782</v>
      </c>
      <c r="BJ349">
        <f t="shared" si="293"/>
        <v>0</v>
      </c>
      <c r="BK349">
        <f t="shared" si="309"/>
        <v>0</v>
      </c>
      <c r="BM349">
        <f t="shared" si="310"/>
        <v>-43.048750264320518</v>
      </c>
      <c r="BN349">
        <f t="shared" si="294"/>
        <v>-91.285518548391337</v>
      </c>
      <c r="BQ349" s="66">
        <f t="shared" si="311"/>
        <v>26.412745528446603</v>
      </c>
      <c r="BR349" s="71"/>
      <c r="BS349" s="71"/>
      <c r="BT349" s="71">
        <v>245470.89199999999</v>
      </c>
      <c r="BU349" s="71">
        <v>14.575900000000001</v>
      </c>
      <c r="BV349" s="71">
        <v>-163.59700000000001</v>
      </c>
      <c r="BY349" s="71"/>
      <c r="BZ349" s="71"/>
      <c r="CA349" s="71"/>
      <c r="CC349" s="71"/>
    </row>
    <row r="350" spans="1:81" x14ac:dyDescent="0.2">
      <c r="A350">
        <f t="shared" si="263"/>
        <v>680000</v>
      </c>
      <c r="B350">
        <f t="shared" si="295"/>
        <v>680</v>
      </c>
      <c r="C350">
        <f t="shared" si="264"/>
        <v>42.310222565464791</v>
      </c>
      <c r="D350">
        <f t="shared" si="265"/>
        <v>1.5471591756625656</v>
      </c>
      <c r="F350">
        <f t="shared" si="266"/>
        <v>1.1010800872419886E-5</v>
      </c>
      <c r="G350">
        <f t="shared" si="267"/>
        <v>1.3655269421047409E-3</v>
      </c>
      <c r="H350">
        <f t="shared" si="268"/>
        <v>-3.1402271230578953</v>
      </c>
      <c r="J350">
        <f t="shared" si="269"/>
        <v>15</v>
      </c>
      <c r="M350">
        <f t="shared" si="270"/>
        <v>4.9610281734556111E-3</v>
      </c>
      <c r="N350">
        <f t="shared" si="271"/>
        <v>-1.5707963250000001</v>
      </c>
      <c r="O350">
        <f t="shared" si="272"/>
        <v>201.49669419420809</v>
      </c>
      <c r="P350">
        <f t="shared" si="273"/>
        <v>1.5658334458452012</v>
      </c>
      <c r="Q350">
        <f t="shared" si="274"/>
        <v>279.17125372245266</v>
      </c>
      <c r="R350">
        <f t="shared" si="275"/>
        <v>1.5672142884396969</v>
      </c>
      <c r="S350">
        <f t="shared" si="276"/>
        <v>3.9372038478683133E-2</v>
      </c>
      <c r="T350">
        <f t="shared" si="277"/>
        <v>-1.5314141090709772</v>
      </c>
      <c r="U350">
        <f t="shared" si="278"/>
        <v>0.9970580093715653</v>
      </c>
      <c r="V350">
        <f t="shared" si="279"/>
        <v>-7.6725931896700419E-2</v>
      </c>
      <c r="X350">
        <f t="shared" si="296"/>
        <v>-22.320517587333001</v>
      </c>
      <c r="Y350">
        <f t="shared" si="280"/>
        <v>-93.90529489367745</v>
      </c>
      <c r="Z350">
        <f t="shared" si="297"/>
        <v>86.09470510632255</v>
      </c>
      <c r="AC350">
        <v>1</v>
      </c>
      <c r="AD350">
        <f t="shared" si="281"/>
        <v>201.49421274864002</v>
      </c>
      <c r="AE350">
        <f t="shared" si="282"/>
        <v>-8.6089732339258301E-4</v>
      </c>
      <c r="AF350">
        <f t="shared" si="283"/>
        <v>1.1198395496484001E-2</v>
      </c>
      <c r="AG350">
        <f t="shared" si="298"/>
        <v>17880.592221067214</v>
      </c>
      <c r="AH350">
        <f t="shared" si="299"/>
        <v>-1463.9020374783229</v>
      </c>
      <c r="AJ350">
        <f t="shared" si="284"/>
        <v>18000</v>
      </c>
      <c r="AK350">
        <f t="shared" si="285"/>
        <v>456822.75714767998</v>
      </c>
      <c r="AL350">
        <v>1</v>
      </c>
      <c r="AM350">
        <f t="shared" si="286"/>
        <v>279.16946270135998</v>
      </c>
      <c r="AN350">
        <f t="shared" si="300"/>
        <v>1636.5735972638188</v>
      </c>
      <c r="AO350">
        <f t="shared" si="301"/>
        <v>-58.614671692228988</v>
      </c>
      <c r="AQ350">
        <f t="shared" si="287"/>
        <v>5.4065714713605797E-3</v>
      </c>
      <c r="AR350">
        <f t="shared" si="288"/>
        <v>-7.3529372010503886</v>
      </c>
      <c r="AT350">
        <f t="shared" si="313"/>
        <v>-10667.307050274367</v>
      </c>
      <c r="AU350">
        <f t="shared" si="314"/>
        <v>-131482.78641009002</v>
      </c>
      <c r="AV350">
        <f t="shared" si="302"/>
        <v>-1.6517498456561592</v>
      </c>
      <c r="AW350">
        <f t="shared" si="303"/>
        <v>41383.085802825299</v>
      </c>
      <c r="AX350">
        <f t="shared" si="304"/>
        <v>-16187.174077521449</v>
      </c>
      <c r="AY350">
        <f t="shared" si="312"/>
        <v>-0.37285763613100409</v>
      </c>
      <c r="BA350">
        <f t="shared" si="289"/>
        <v>2.968627282170925</v>
      </c>
      <c r="BB350">
        <f t="shared" si="305"/>
        <v>9.4511134874037079</v>
      </c>
      <c r="BC350">
        <f t="shared" si="306"/>
        <v>-1.2788922095251551</v>
      </c>
      <c r="BD350">
        <f t="shared" si="290"/>
        <v>-253.27512614168103</v>
      </c>
      <c r="BF350">
        <f t="shared" si="291"/>
        <v>-33.661776962116456</v>
      </c>
      <c r="BG350">
        <f t="shared" si="292"/>
        <v>-164.55119610930058</v>
      </c>
      <c r="BH350">
        <f t="shared" si="307"/>
        <v>15.448803890699423</v>
      </c>
      <c r="BI350">
        <f t="shared" si="308"/>
        <v>15.448803890699423</v>
      </c>
      <c r="BJ350">
        <f t="shared" si="293"/>
        <v>0</v>
      </c>
      <c r="BK350">
        <f t="shared" si="309"/>
        <v>0</v>
      </c>
      <c r="BM350">
        <f t="shared" si="310"/>
        <v>-43.112890449520165</v>
      </c>
      <c r="BN350">
        <f t="shared" si="294"/>
        <v>-91.276069967619549</v>
      </c>
      <c r="BQ350" s="66">
        <f t="shared" si="311"/>
        <v>26.353074287688845</v>
      </c>
      <c r="BR350" s="71"/>
      <c r="BS350" s="71"/>
      <c r="BT350" s="71">
        <v>251188.64300000001</v>
      </c>
      <c r="BU350" s="71">
        <v>14.7446</v>
      </c>
      <c r="BV350" s="71">
        <v>-165.89599999999999</v>
      </c>
      <c r="BY350" s="71"/>
      <c r="BZ350" s="71"/>
      <c r="CA350" s="71"/>
      <c r="CC350" s="71"/>
    </row>
    <row r="351" spans="1:81" x14ac:dyDescent="0.2">
      <c r="A351">
        <f t="shared" si="263"/>
        <v>685000</v>
      </c>
      <c r="B351">
        <f t="shared" si="295"/>
        <v>685</v>
      </c>
      <c r="C351">
        <f t="shared" si="264"/>
        <v>42.621153990659273</v>
      </c>
      <c r="D351">
        <f t="shared" si="265"/>
        <v>1.5473316460562863</v>
      </c>
      <c r="F351">
        <f t="shared" si="266"/>
        <v>1.0850644296722561E-5</v>
      </c>
      <c r="G351">
        <f t="shared" si="267"/>
        <v>1.355559385478146E-3</v>
      </c>
      <c r="H351">
        <f t="shared" si="268"/>
        <v>-3.1402370906145221</v>
      </c>
      <c r="J351">
        <f t="shared" si="269"/>
        <v>15</v>
      </c>
      <c r="M351">
        <f t="shared" si="270"/>
        <v>4.9248162889778324E-3</v>
      </c>
      <c r="N351">
        <f t="shared" si="271"/>
        <v>-1.5707963250000001</v>
      </c>
      <c r="O351">
        <f t="shared" si="272"/>
        <v>202.97825117542732</v>
      </c>
      <c r="P351">
        <f t="shared" si="273"/>
        <v>1.5658696706652671</v>
      </c>
      <c r="Q351">
        <f t="shared" si="274"/>
        <v>281.22395728689895</v>
      </c>
      <c r="R351">
        <f t="shared" si="275"/>
        <v>1.5672404344838515</v>
      </c>
      <c r="S351">
        <f t="shared" si="276"/>
        <v>3.9085091973445521E-2</v>
      </c>
      <c r="T351">
        <f t="shared" si="277"/>
        <v>-1.5317012766205245</v>
      </c>
      <c r="U351">
        <f t="shared" si="278"/>
        <v>0.99701477999413213</v>
      </c>
      <c r="V351">
        <f t="shared" si="279"/>
        <v>-7.7287857335660806E-2</v>
      </c>
      <c r="X351">
        <f t="shared" si="296"/>
        <v>-22.38446837999653</v>
      </c>
      <c r="Y351">
        <f t="shared" si="280"/>
        <v>-93.941060024365171</v>
      </c>
      <c r="Z351">
        <f t="shared" si="297"/>
        <v>86.058939975634829</v>
      </c>
      <c r="AC351">
        <v>1</v>
      </c>
      <c r="AD351">
        <f t="shared" si="281"/>
        <v>202.97578784238002</v>
      </c>
      <c r="AE351">
        <f t="shared" si="282"/>
        <v>-8.7360412320260528E-4</v>
      </c>
      <c r="AF351">
        <f t="shared" si="283"/>
        <v>1.1280736639840501E-2</v>
      </c>
      <c r="AG351">
        <f t="shared" si="298"/>
        <v>17879.041759397289</v>
      </c>
      <c r="AH351">
        <f t="shared" si="299"/>
        <v>-1473.237531423835</v>
      </c>
      <c r="AJ351">
        <f t="shared" si="284"/>
        <v>18000</v>
      </c>
      <c r="AK351">
        <f t="shared" si="285"/>
        <v>460181.74800905999</v>
      </c>
      <c r="AL351">
        <v>1</v>
      </c>
      <c r="AM351">
        <f t="shared" si="286"/>
        <v>281.22217933887003</v>
      </c>
      <c r="AN351">
        <f t="shared" si="300"/>
        <v>1636.570543366382</v>
      </c>
      <c r="AO351">
        <f t="shared" si="301"/>
        <v>-58.18683823268379</v>
      </c>
      <c r="AQ351">
        <f t="shared" si="287"/>
        <v>5.327931521161745E-3</v>
      </c>
      <c r="AR351">
        <f t="shared" si="288"/>
        <v>-7.2992661839915902</v>
      </c>
      <c r="AT351">
        <f t="shared" si="313"/>
        <v>-10658.294583951187</v>
      </c>
      <c r="AU351">
        <f t="shared" si="314"/>
        <v>-130511.73422522398</v>
      </c>
      <c r="AV351">
        <f t="shared" si="302"/>
        <v>-1.6522809133825209</v>
      </c>
      <c r="AW351">
        <f t="shared" si="303"/>
        <v>41385.755797355669</v>
      </c>
      <c r="AX351">
        <f t="shared" si="304"/>
        <v>-16113.970815412205</v>
      </c>
      <c r="AY351">
        <f t="shared" si="312"/>
        <v>-0.37130071766415784</v>
      </c>
      <c r="BA351">
        <f t="shared" si="289"/>
        <v>2.9484309866314344</v>
      </c>
      <c r="BB351">
        <f t="shared" si="305"/>
        <v>9.3918193356737021</v>
      </c>
      <c r="BC351">
        <f t="shared" si="306"/>
        <v>-1.2809801957183631</v>
      </c>
      <c r="BD351">
        <f t="shared" si="290"/>
        <v>-253.3947589383701</v>
      </c>
      <c r="BF351">
        <f t="shared" si="291"/>
        <v>-33.784740861838422</v>
      </c>
      <c r="BG351">
        <f t="shared" si="292"/>
        <v>-164.66151817925464</v>
      </c>
      <c r="BH351">
        <f t="shared" si="307"/>
        <v>15.338481820745358</v>
      </c>
      <c r="BI351">
        <f t="shared" si="308"/>
        <v>15.338481820745358</v>
      </c>
      <c r="BJ351">
        <f t="shared" si="293"/>
        <v>0</v>
      </c>
      <c r="BK351">
        <f t="shared" si="309"/>
        <v>0</v>
      </c>
      <c r="BM351">
        <f t="shared" si="310"/>
        <v>-43.176560197512124</v>
      </c>
      <c r="BN351">
        <f t="shared" si="294"/>
        <v>-91.266759240884539</v>
      </c>
      <c r="BQ351" s="66">
        <f t="shared" si="311"/>
        <v>26.293780135958833</v>
      </c>
      <c r="BR351" s="71"/>
      <c r="BS351" s="71"/>
      <c r="BT351" s="71">
        <v>257039.57800000001</v>
      </c>
      <c r="BU351" s="71">
        <v>14.891</v>
      </c>
      <c r="BV351" s="71">
        <v>-168.07</v>
      </c>
      <c r="BY351" s="71"/>
      <c r="BZ351" s="71"/>
      <c r="CA351" s="71"/>
      <c r="CC351" s="71"/>
    </row>
    <row r="352" spans="1:81" x14ac:dyDescent="0.2">
      <c r="A352">
        <f t="shared" si="263"/>
        <v>690000</v>
      </c>
      <c r="B352">
        <f t="shared" si="295"/>
        <v>690</v>
      </c>
      <c r="C352">
        <f t="shared" si="264"/>
        <v>42.932086665300169</v>
      </c>
      <c r="D352">
        <f t="shared" si="265"/>
        <v>1.547501618245156</v>
      </c>
      <c r="F352">
        <f t="shared" si="266"/>
        <v>1.069395680144658E-5</v>
      </c>
      <c r="G352">
        <f t="shared" si="267"/>
        <v>1.345736290638418E-3</v>
      </c>
      <c r="H352">
        <f t="shared" si="268"/>
        <v>-3.1402469137093618</v>
      </c>
      <c r="J352">
        <f t="shared" si="269"/>
        <v>15</v>
      </c>
      <c r="M352">
        <f t="shared" si="270"/>
        <v>4.8891292144200224E-3</v>
      </c>
      <c r="N352">
        <f t="shared" si="271"/>
        <v>-1.5707963250000001</v>
      </c>
      <c r="O352">
        <f t="shared" si="272"/>
        <v>204.45980841914215</v>
      </c>
      <c r="P352">
        <f t="shared" si="273"/>
        <v>1.5659053705005914</v>
      </c>
      <c r="Q352">
        <f t="shared" si="274"/>
        <v>283.27666104080816</v>
      </c>
      <c r="R352">
        <f t="shared" si="275"/>
        <v>1.5672662016045869</v>
      </c>
      <c r="S352">
        <f t="shared" si="276"/>
        <v>3.8802294652376411E-2</v>
      </c>
      <c r="T352">
        <f t="shared" si="277"/>
        <v>-1.5319842886335746</v>
      </c>
      <c r="U352">
        <f t="shared" si="278"/>
        <v>0.99697123960228784</v>
      </c>
      <c r="V352">
        <f t="shared" si="279"/>
        <v>-7.7849733872606117E-2</v>
      </c>
      <c r="X352">
        <f t="shared" si="296"/>
        <v>-22.447960383572543</v>
      </c>
      <c r="Y352">
        <f t="shared" si="280"/>
        <v>-93.976770908137127</v>
      </c>
      <c r="Z352">
        <f t="shared" si="297"/>
        <v>86.023229091862873</v>
      </c>
      <c r="AC352">
        <v>1</v>
      </c>
      <c r="AD352">
        <f t="shared" si="281"/>
        <v>204.45736293612001</v>
      </c>
      <c r="AE352">
        <f t="shared" si="282"/>
        <v>-8.8640401312112586E-4</v>
      </c>
      <c r="AF352">
        <f t="shared" si="283"/>
        <v>1.1363077783197001E-2</v>
      </c>
      <c r="AG352">
        <f t="shared" si="298"/>
        <v>17877.480210859299</v>
      </c>
      <c r="AH352">
        <f t="shared" si="299"/>
        <v>-1482.579854228489</v>
      </c>
      <c r="AJ352">
        <f t="shared" si="284"/>
        <v>18000</v>
      </c>
      <c r="AK352">
        <f t="shared" si="285"/>
        <v>463540.73887043993</v>
      </c>
      <c r="AL352">
        <v>1</v>
      </c>
      <c r="AM352">
        <f t="shared" si="286"/>
        <v>283.27489597637998</v>
      </c>
      <c r="AN352">
        <f t="shared" si="300"/>
        <v>1636.5675556160832</v>
      </c>
      <c r="AO352">
        <f t="shared" si="301"/>
        <v>-57.765205024550895</v>
      </c>
      <c r="AQ352">
        <f t="shared" si="287"/>
        <v>5.2509949322647907E-3</v>
      </c>
      <c r="AR352">
        <f t="shared" si="288"/>
        <v>-7.2463730065254115</v>
      </c>
      <c r="AT352">
        <f t="shared" si="313"/>
        <v>-10649.452077710817</v>
      </c>
      <c r="AU352">
        <f t="shared" si="314"/>
        <v>-129554.67504396428</v>
      </c>
      <c r="AV352">
        <f t="shared" si="302"/>
        <v>-1.652812379407484</v>
      </c>
      <c r="AW352">
        <f t="shared" si="303"/>
        <v>41388.267607577793</v>
      </c>
      <c r="AX352">
        <f t="shared" si="304"/>
        <v>-16042.148340699452</v>
      </c>
      <c r="AY352">
        <f t="shared" si="312"/>
        <v>-0.3697724030267896</v>
      </c>
      <c r="BA352">
        <f t="shared" si="289"/>
        <v>2.9284977767494675</v>
      </c>
      <c r="BB352">
        <f t="shared" si="305"/>
        <v>9.3328979731473964</v>
      </c>
      <c r="BC352">
        <f t="shared" si="306"/>
        <v>-1.2830399763806946</v>
      </c>
      <c r="BD352">
        <f t="shared" si="290"/>
        <v>-253.51277567717921</v>
      </c>
      <c r="BF352">
        <f t="shared" si="291"/>
        <v>-33.906868389641637</v>
      </c>
      <c r="BG352">
        <f t="shared" si="292"/>
        <v>-164.77035905087249</v>
      </c>
      <c r="BH352">
        <f t="shared" si="307"/>
        <v>15.229640949127514</v>
      </c>
      <c r="BI352">
        <f t="shared" si="308"/>
        <v>15.229640949127514</v>
      </c>
      <c r="BJ352">
        <f t="shared" si="293"/>
        <v>0</v>
      </c>
      <c r="BK352">
        <f t="shared" si="309"/>
        <v>0</v>
      </c>
      <c r="BM352">
        <f t="shared" si="310"/>
        <v>-43.239766362789034</v>
      </c>
      <c r="BN352">
        <f t="shared" si="294"/>
        <v>-91.257583373693279</v>
      </c>
      <c r="BQ352" s="66">
        <f t="shared" si="311"/>
        <v>26.234858773432531</v>
      </c>
      <c r="BR352" s="71"/>
      <c r="BS352" s="71"/>
      <c r="BT352" s="71">
        <v>263026.799</v>
      </c>
      <c r="BU352" s="71">
        <v>14.9779</v>
      </c>
      <c r="BV352" s="71">
        <v>-170.82400000000001</v>
      </c>
      <c r="BY352" s="71"/>
      <c r="BZ352" s="71"/>
      <c r="CA352" s="71"/>
      <c r="CC352" s="71"/>
    </row>
    <row r="353" spans="1:81" x14ac:dyDescent="0.2">
      <c r="A353">
        <f t="shared" si="263"/>
        <v>695000</v>
      </c>
      <c r="B353">
        <f t="shared" si="295"/>
        <v>695</v>
      </c>
      <c r="C353">
        <f t="shared" si="264"/>
        <v>43.243020562435575</v>
      </c>
      <c r="D353">
        <f t="shared" si="265"/>
        <v>1.5476691461083976</v>
      </c>
      <c r="F353">
        <f t="shared" si="266"/>
        <v>1.0540638915286628E-5</v>
      </c>
      <c r="G353">
        <f t="shared" si="267"/>
        <v>1.3360545395787421E-3</v>
      </c>
      <c r="H353">
        <f t="shared" si="268"/>
        <v>-3.1402565954604214</v>
      </c>
      <c r="J353">
        <f t="shared" si="269"/>
        <v>15</v>
      </c>
      <c r="M353">
        <f t="shared" si="270"/>
        <v>4.8539556229493745E-3</v>
      </c>
      <c r="N353">
        <f t="shared" si="271"/>
        <v>-1.5707963250000001</v>
      </c>
      <c r="O353">
        <f t="shared" si="272"/>
        <v>205.94136591968726</v>
      </c>
      <c r="P353">
        <f t="shared" si="273"/>
        <v>1.56594055668142</v>
      </c>
      <c r="Q353">
        <f t="shared" si="274"/>
        <v>285.32936498009121</v>
      </c>
      <c r="R353">
        <f t="shared" si="275"/>
        <v>1.5672915979799706</v>
      </c>
      <c r="S353">
        <f t="shared" si="276"/>
        <v>3.8523557233556029E-2</v>
      </c>
      <c r="T353">
        <f t="shared" si="277"/>
        <v>-1.5322632346185494</v>
      </c>
      <c r="U353">
        <f t="shared" si="278"/>
        <v>0.99692738831924743</v>
      </c>
      <c r="V353">
        <f t="shared" si="279"/>
        <v>-7.8411561159191456E-2</v>
      </c>
      <c r="X353">
        <f t="shared" si="296"/>
        <v>-22.511000243817204</v>
      </c>
      <c r="Y353">
        <f t="shared" si="280"/>
        <v>-94.012428627342018</v>
      </c>
      <c r="Z353">
        <f t="shared" si="297"/>
        <v>85.987571372657982</v>
      </c>
      <c r="AC353">
        <v>1</v>
      </c>
      <c r="AD353">
        <f t="shared" si="281"/>
        <v>205.93893802986003</v>
      </c>
      <c r="AE353">
        <f t="shared" si="282"/>
        <v>-8.9929699314814505E-4</v>
      </c>
      <c r="AF353">
        <f t="shared" si="283"/>
        <v>1.1445418926553499E-2</v>
      </c>
      <c r="AG353">
        <f t="shared" si="298"/>
        <v>17875.907581333391</v>
      </c>
      <c r="AH353">
        <f t="shared" si="299"/>
        <v>-1491.9287836700603</v>
      </c>
      <c r="AJ353">
        <f t="shared" si="284"/>
        <v>18000</v>
      </c>
      <c r="AK353">
        <f t="shared" si="285"/>
        <v>466899.72973182</v>
      </c>
      <c r="AL353">
        <v>1</v>
      </c>
      <c r="AM353">
        <f t="shared" si="286"/>
        <v>285.32761261388998</v>
      </c>
      <c r="AN353">
        <f t="shared" si="300"/>
        <v>1636.5646321163108</v>
      </c>
      <c r="AO353">
        <f t="shared" si="301"/>
        <v>-57.349638256101613</v>
      </c>
      <c r="AQ353">
        <f t="shared" si="287"/>
        <v>5.1757128638720232E-3</v>
      </c>
      <c r="AR353">
        <f t="shared" si="288"/>
        <v>-7.1942408807821119</v>
      </c>
      <c r="AT353">
        <f t="shared" si="313"/>
        <v>-10640.774481872584</v>
      </c>
      <c r="AU353">
        <f t="shared" si="314"/>
        <v>-128611.30689770919</v>
      </c>
      <c r="AV353">
        <f t="shared" si="302"/>
        <v>-1.6533442337312507</v>
      </c>
      <c r="AW353">
        <f t="shared" si="303"/>
        <v>41390.625068082045</v>
      </c>
      <c r="AX353">
        <f t="shared" si="304"/>
        <v>-15971.676667674696</v>
      </c>
      <c r="AY353">
        <f t="shared" si="312"/>
        <v>-0.36827211989834618</v>
      </c>
      <c r="BA353">
        <f t="shared" si="289"/>
        <v>2.9088227497166605</v>
      </c>
      <c r="BB353">
        <f t="shared" si="305"/>
        <v>9.2743451628903752</v>
      </c>
      <c r="BC353">
        <f t="shared" si="306"/>
        <v>-1.2850721138329044</v>
      </c>
      <c r="BD353">
        <f t="shared" si="290"/>
        <v>-253.62920857671435</v>
      </c>
      <c r="BF353">
        <f t="shared" si="291"/>
        <v>-34.028170488144433</v>
      </c>
      <c r="BG353">
        <f t="shared" si="292"/>
        <v>-164.87774803435673</v>
      </c>
      <c r="BH353">
        <f t="shared" si="307"/>
        <v>15.122251965643272</v>
      </c>
      <c r="BI353">
        <f t="shared" si="308"/>
        <v>15.122251965643272</v>
      </c>
      <c r="BJ353">
        <f t="shared" si="293"/>
        <v>0</v>
      </c>
      <c r="BK353">
        <f t="shared" si="309"/>
        <v>0</v>
      </c>
      <c r="BM353">
        <f t="shared" si="310"/>
        <v>-43.30251565103481</v>
      </c>
      <c r="BN353">
        <f t="shared" si="294"/>
        <v>-91.248539457642366</v>
      </c>
      <c r="BQ353" s="66">
        <f t="shared" si="311"/>
        <v>26.176305963175508</v>
      </c>
      <c r="BR353" s="71"/>
      <c r="BS353" s="71"/>
      <c r="BT353" s="71">
        <v>269153.48</v>
      </c>
      <c r="BU353" s="71">
        <v>15.0854</v>
      </c>
      <c r="BV353" s="71">
        <v>-173.35300000000001</v>
      </c>
      <c r="BY353" s="71"/>
      <c r="BZ353" s="71"/>
      <c r="CA353" s="71"/>
      <c r="CC353" s="71"/>
    </row>
    <row r="354" spans="1:81" x14ac:dyDescent="0.2">
      <c r="A354">
        <f t="shared" si="263"/>
        <v>700000</v>
      </c>
      <c r="B354">
        <f t="shared" si="295"/>
        <v>700</v>
      </c>
      <c r="C354">
        <f t="shared" si="264"/>
        <v>43.553955655883136</v>
      </c>
      <c r="D354">
        <f t="shared" si="265"/>
        <v>1.5478342819872009</v>
      </c>
      <c r="F354">
        <f t="shared" si="266"/>
        <v>1.0390594706818905E-5</v>
      </c>
      <c r="G354">
        <f t="shared" si="267"/>
        <v>1.3265111033826842E-3</v>
      </c>
      <c r="H354">
        <f t="shared" si="268"/>
        <v>-3.1402661388966173</v>
      </c>
      <c r="J354">
        <f t="shared" si="269"/>
        <v>15</v>
      </c>
      <c r="M354">
        <f t="shared" si="270"/>
        <v>4.8192845113568788E-3</v>
      </c>
      <c r="N354">
        <f t="shared" si="271"/>
        <v>-1.5707963250000001</v>
      </c>
      <c r="O354">
        <f t="shared" si="272"/>
        <v>207.42292367155935</v>
      </c>
      <c r="P354">
        <f t="shared" si="273"/>
        <v>1.5659752402142901</v>
      </c>
      <c r="Q354">
        <f t="shared" si="274"/>
        <v>287.38206910077582</v>
      </c>
      <c r="R354">
        <f t="shared" si="275"/>
        <v>1.5673166315544163</v>
      </c>
      <c r="S354">
        <f t="shared" si="276"/>
        <v>3.8248792976499753E-2</v>
      </c>
      <c r="T354">
        <f t="shared" si="277"/>
        <v>-1.5325382015328157</v>
      </c>
      <c r="U354">
        <f t="shared" si="278"/>
        <v>0.99688322626907644</v>
      </c>
      <c r="V354">
        <f t="shared" si="279"/>
        <v>-7.8973338847257366E-2</v>
      </c>
      <c r="X354">
        <f t="shared" si="296"/>
        <v>-22.573594464055653</v>
      </c>
      <c r="Y354">
        <f t="shared" si="280"/>
        <v>-94.048034233127254</v>
      </c>
      <c r="Z354">
        <f t="shared" si="297"/>
        <v>85.951965766872746</v>
      </c>
      <c r="AC354">
        <v>1</v>
      </c>
      <c r="AD354">
        <f t="shared" si="281"/>
        <v>207.42051312360002</v>
      </c>
      <c r="AE354">
        <f t="shared" si="282"/>
        <v>-9.1228306328366233E-4</v>
      </c>
      <c r="AF354">
        <f t="shared" si="283"/>
        <v>1.1527760069909999E-2</v>
      </c>
      <c r="AG354">
        <f t="shared" si="298"/>
        <v>17874.323876739832</v>
      </c>
      <c r="AH354">
        <f t="shared" si="299"/>
        <v>-1501.2841033680224</v>
      </c>
      <c r="AJ354">
        <f t="shared" si="284"/>
        <v>18000</v>
      </c>
      <c r="AK354">
        <f t="shared" si="285"/>
        <v>470258.72059319995</v>
      </c>
      <c r="AL354">
        <v>1</v>
      </c>
      <c r="AM354">
        <f t="shared" si="286"/>
        <v>287.38032925140004</v>
      </c>
      <c r="AN354">
        <f t="shared" si="300"/>
        <v>1636.5617710379433</v>
      </c>
      <c r="AO354">
        <f t="shared" si="301"/>
        <v>-56.940007938564698</v>
      </c>
      <c r="AQ354">
        <f t="shared" si="287"/>
        <v>5.1020382132458096E-3</v>
      </c>
      <c r="AR354">
        <f t="shared" si="288"/>
        <v>-7.1428534985441337</v>
      </c>
      <c r="AT354">
        <f t="shared" si="313"/>
        <v>-10632.256926595914</v>
      </c>
      <c r="AU354">
        <f t="shared" si="314"/>
        <v>-127681.33644594638</v>
      </c>
      <c r="AV354">
        <f t="shared" si="302"/>
        <v>-1.6538764666299519</v>
      </c>
      <c r="AW354">
        <f t="shared" si="303"/>
        <v>41392.831877564495</v>
      </c>
      <c r="AX354">
        <f t="shared" si="304"/>
        <v>-15902.526666803824</v>
      </c>
      <c r="AY354">
        <f t="shared" si="312"/>
        <v>-0.36679931078562511</v>
      </c>
      <c r="BA354">
        <f t="shared" si="289"/>
        <v>2.8894011180399723</v>
      </c>
      <c r="BB354">
        <f t="shared" si="305"/>
        <v>9.2161567299887821</v>
      </c>
      <c r="BC354">
        <f t="shared" si="306"/>
        <v>-1.2870771558443268</v>
      </c>
      <c r="BD354">
        <f t="shared" si="290"/>
        <v>-253.74408902184655</v>
      </c>
      <c r="BF354">
        <f t="shared" si="291"/>
        <v>-34.148657893414651</v>
      </c>
      <c r="BG354">
        <f t="shared" si="292"/>
        <v>-164.98371368919319</v>
      </c>
      <c r="BH354">
        <f t="shared" si="307"/>
        <v>15.016286310806805</v>
      </c>
      <c r="BI354">
        <f t="shared" si="308"/>
        <v>15.016286310806805</v>
      </c>
      <c r="BJ354">
        <f t="shared" si="293"/>
        <v>0</v>
      </c>
      <c r="BK354">
        <f t="shared" si="309"/>
        <v>0</v>
      </c>
      <c r="BM354">
        <f t="shared" si="310"/>
        <v>-43.36481462340344</v>
      </c>
      <c r="BN354">
        <f t="shared" si="294"/>
        <v>-91.239624667346661</v>
      </c>
      <c r="BQ354" s="66">
        <f t="shared" si="311"/>
        <v>26.118117530273921</v>
      </c>
      <c r="BR354" s="71"/>
      <c r="BS354" s="71"/>
      <c r="BT354" s="71">
        <v>275422.87</v>
      </c>
      <c r="BU354" s="71">
        <v>15.1145</v>
      </c>
      <c r="BV354" s="71">
        <v>-175.80699999999999</v>
      </c>
      <c r="BY354" s="71"/>
      <c r="BZ354" s="71"/>
      <c r="CA354" s="71"/>
      <c r="CC354" s="71"/>
    </row>
    <row r="355" spans="1:81" x14ac:dyDescent="0.2">
      <c r="A355">
        <f t="shared" si="263"/>
        <v>705000</v>
      </c>
      <c r="B355">
        <f t="shared" si="295"/>
        <v>705</v>
      </c>
      <c r="C355">
        <f t="shared" si="264"/>
        <v>43.864891920202794</v>
      </c>
      <c r="D355">
        <f t="shared" si="265"/>
        <v>1.5479970767392035</v>
      </c>
      <c r="F355">
        <f t="shared" si="266"/>
        <v>1.0243731634401248E-5</v>
      </c>
      <c r="G355">
        <f t="shared" si="267"/>
        <v>1.3171030390647671E-3</v>
      </c>
      <c r="H355">
        <f t="shared" si="268"/>
        <v>-3.1402755469609356</v>
      </c>
      <c r="J355">
        <f t="shared" si="269"/>
        <v>15</v>
      </c>
      <c r="M355">
        <f t="shared" si="270"/>
        <v>4.7851051885812986E-3</v>
      </c>
      <c r="N355">
        <f t="shared" si="271"/>
        <v>-1.5707963250000001</v>
      </c>
      <c r="O355">
        <f t="shared" si="272"/>
        <v>208.9044816694111</v>
      </c>
      <c r="P355">
        <f t="shared" si="273"/>
        <v>1.5660094317935087</v>
      </c>
      <c r="Q355">
        <f t="shared" si="274"/>
        <v>289.43477339900244</v>
      </c>
      <c r="R355">
        <f t="shared" si="275"/>
        <v>1.5673413100469689</v>
      </c>
      <c r="S355">
        <f t="shared" si="276"/>
        <v>3.7977917592434317E-2</v>
      </c>
      <c r="T355">
        <f t="shared" si="277"/>
        <v>-1.5328092738728811</v>
      </c>
      <c r="U355">
        <f t="shared" si="278"/>
        <v>0.99683875357669038</v>
      </c>
      <c r="V355">
        <f t="shared" si="279"/>
        <v>-7.9535066588831124E-2</v>
      </c>
      <c r="X355">
        <f t="shared" si="296"/>
        <v>-22.635749409218995</v>
      </c>
      <c r="Y355">
        <f t="shared" si="280"/>
        <v>-94.083588746534005</v>
      </c>
      <c r="Z355">
        <f t="shared" si="297"/>
        <v>85.916411253465995</v>
      </c>
      <c r="AC355">
        <v>1</v>
      </c>
      <c r="AD355">
        <f t="shared" si="281"/>
        <v>208.90208821734004</v>
      </c>
      <c r="AE355">
        <f t="shared" si="282"/>
        <v>-9.2536222352767824E-4</v>
      </c>
      <c r="AF355">
        <f t="shared" si="283"/>
        <v>1.1610101213266499E-2</v>
      </c>
      <c r="AG355">
        <f t="shared" si="298"/>
        <v>17872.729103039033</v>
      </c>
      <c r="AH355">
        <f t="shared" si="299"/>
        <v>-1510.6456025770963</v>
      </c>
      <c r="AJ355">
        <f t="shared" si="284"/>
        <v>18000</v>
      </c>
      <c r="AK355">
        <f t="shared" si="285"/>
        <v>473617.71145457996</v>
      </c>
      <c r="AL355">
        <v>1</v>
      </c>
      <c r="AM355">
        <f t="shared" si="286"/>
        <v>289.43304588890999</v>
      </c>
      <c r="AN355">
        <f t="shared" si="300"/>
        <v>1636.5589706164924</v>
      </c>
      <c r="AO355">
        <f t="shared" si="301"/>
        <v>-56.536187770570301</v>
      </c>
      <c r="AQ355">
        <f t="shared" si="287"/>
        <v>5.0299255420122018E-3</v>
      </c>
      <c r="AR355">
        <f t="shared" si="288"/>
        <v>-7.0921950142372046</v>
      </c>
      <c r="AT355">
        <f t="shared" si="313"/>
        <v>-10623.894714255799</v>
      </c>
      <c r="AU355">
        <f t="shared" si="314"/>
        <v>-126764.47867028695</v>
      </c>
      <c r="AV355">
        <f t="shared" si="302"/>
        <v>-1.6544090686458703</v>
      </c>
      <c r="AW355">
        <f t="shared" si="303"/>
        <v>41394.891604592682</v>
      </c>
      <c r="AX355">
        <f t="shared" si="304"/>
        <v>-15834.670034343513</v>
      </c>
      <c r="AY355">
        <f t="shared" si="312"/>
        <v>-0.36535343255510438</v>
      </c>
      <c r="BA355">
        <f t="shared" si="289"/>
        <v>2.8702282063781799</v>
      </c>
      <c r="BB355">
        <f t="shared" si="305"/>
        <v>9.1583285606777523</v>
      </c>
      <c r="BC355">
        <f t="shared" si="306"/>
        <v>-1.2890556360907659</v>
      </c>
      <c r="BD355">
        <f t="shared" si="290"/>
        <v>-253.85744758994704</v>
      </c>
      <c r="BF355">
        <f t="shared" si="291"/>
        <v>-34.268341139967291</v>
      </c>
      <c r="BG355">
        <f t="shared" si="292"/>
        <v>-165.08828384744587</v>
      </c>
      <c r="BH355">
        <f t="shared" si="307"/>
        <v>14.911716152554135</v>
      </c>
      <c r="BI355">
        <f t="shared" si="308"/>
        <v>14.911716152554135</v>
      </c>
      <c r="BJ355">
        <f t="shared" si="293"/>
        <v>0</v>
      </c>
      <c r="BK355">
        <f t="shared" si="309"/>
        <v>0</v>
      </c>
      <c r="BM355">
        <f t="shared" si="310"/>
        <v>-43.42666970064505</v>
      </c>
      <c r="BN355">
        <f t="shared" si="294"/>
        <v>-91.230836257498808</v>
      </c>
      <c r="BQ355" s="66">
        <f t="shared" si="311"/>
        <v>26.060289360962887</v>
      </c>
      <c r="BR355" s="71"/>
      <c r="BS355" s="71"/>
      <c r="BT355" s="71">
        <v>281838.29300000001</v>
      </c>
      <c r="BU355" s="71">
        <v>15.1486</v>
      </c>
      <c r="BV355" s="71">
        <v>-177.72399999999999</v>
      </c>
      <c r="BY355" s="71"/>
      <c r="BZ355" s="71"/>
      <c r="CA355" s="71"/>
      <c r="CC355" s="71"/>
    </row>
    <row r="356" spans="1:81" x14ac:dyDescent="0.2">
      <c r="A356">
        <f t="shared" si="263"/>
        <v>710000</v>
      </c>
      <c r="B356">
        <f t="shared" si="295"/>
        <v>710</v>
      </c>
      <c r="C356">
        <f t="shared" si="264"/>
        <v>44.175829330670609</v>
      </c>
      <c r="D356">
        <f t="shared" si="265"/>
        <v>1.548157579790675</v>
      </c>
      <c r="F356">
        <f t="shared" si="266"/>
        <v>1.0099960403446515E-5</v>
      </c>
      <c r="G356">
        <f t="shared" si="267"/>
        <v>1.3078274865445565E-3</v>
      </c>
      <c r="H356">
        <f t="shared" si="268"/>
        <v>-3.1402848225134559</v>
      </c>
      <c r="J356">
        <f t="shared" si="269"/>
        <v>15</v>
      </c>
      <c r="M356">
        <f t="shared" si="270"/>
        <v>4.7514072647180496E-3</v>
      </c>
      <c r="N356">
        <f t="shared" si="271"/>
        <v>-1.5707963250000001</v>
      </c>
      <c r="O356">
        <f t="shared" si="272"/>
        <v>210.38603990804589</v>
      </c>
      <c r="P356">
        <f t="shared" si="273"/>
        <v>1.5660431418121465</v>
      </c>
      <c r="Q356">
        <f t="shared" si="274"/>
        <v>291.48747787102025</v>
      </c>
      <c r="R356">
        <f t="shared" si="275"/>
        <v>1.5673656409592394</v>
      </c>
      <c r="S356">
        <f t="shared" si="276"/>
        <v>3.7710849158345681E-2</v>
      </c>
      <c r="T356">
        <f t="shared" si="277"/>
        <v>-1.5330765337607941</v>
      </c>
      <c r="U356">
        <f t="shared" si="278"/>
        <v>0.99679397036785378</v>
      </c>
      <c r="V356">
        <f t="shared" si="279"/>
        <v>-8.0096744036127904E-2</v>
      </c>
      <c r="X356">
        <f t="shared" si="296"/>
        <v>-22.697471309739427</v>
      </c>
      <c r="Y356">
        <f t="shared" si="280"/>
        <v>-94.119093159546651</v>
      </c>
      <c r="Z356">
        <f t="shared" si="297"/>
        <v>85.880906840453349</v>
      </c>
      <c r="AC356">
        <v>1</v>
      </c>
      <c r="AD356">
        <f t="shared" si="281"/>
        <v>210.38366331108003</v>
      </c>
      <c r="AE356">
        <f t="shared" si="282"/>
        <v>-9.3853447388019234E-4</v>
      </c>
      <c r="AF356">
        <f t="shared" si="283"/>
        <v>1.1692442356623001E-2</v>
      </c>
      <c r="AG356">
        <f t="shared" si="298"/>
        <v>17871.123266231429</v>
      </c>
      <c r="AH356">
        <f t="shared" si="299"/>
        <v>-1520.0130759895114</v>
      </c>
      <c r="AJ356">
        <f t="shared" si="284"/>
        <v>18000</v>
      </c>
      <c r="AK356">
        <f t="shared" si="285"/>
        <v>476976.70231596002</v>
      </c>
      <c r="AL356">
        <v>1</v>
      </c>
      <c r="AM356">
        <f t="shared" si="286"/>
        <v>291.48576252641999</v>
      </c>
      <c r="AN356">
        <f t="shared" si="300"/>
        <v>1636.5562291493757</v>
      </c>
      <c r="AO356">
        <f t="shared" si="301"/>
        <v>-56.138055008321231</v>
      </c>
      <c r="AQ356">
        <f t="shared" si="287"/>
        <v>4.9593310060846033E-3</v>
      </c>
      <c r="AR356">
        <f t="shared" si="288"/>
        <v>-7.0422500286401366</v>
      </c>
      <c r="AT356">
        <f t="shared" si="313"/>
        <v>-10615.683312192738</v>
      </c>
      <c r="AU356">
        <f t="shared" si="314"/>
        <v>-125860.4565814271</v>
      </c>
      <c r="AV356">
        <f t="shared" si="302"/>
        <v>-1.654942030578078</v>
      </c>
      <c r="AW356">
        <f t="shared" si="303"/>
        <v>41396.807693087969</v>
      </c>
      <c r="AX356">
        <f t="shared" si="304"/>
        <v>-15768.079263242529</v>
      </c>
      <c r="AY356">
        <f t="shared" si="312"/>
        <v>-0.3639339559824844</v>
      </c>
      <c r="BA356">
        <f t="shared" si="289"/>
        <v>2.8512994484727354</v>
      </c>
      <c r="BB356">
        <f t="shared" si="305"/>
        <v>9.1008566014687968</v>
      </c>
      <c r="BC356">
        <f t="shared" si="306"/>
        <v>-1.2910080745955936</v>
      </c>
      <c r="BD356">
        <f t="shared" si="290"/>
        <v>-253.96931407616034</v>
      </c>
      <c r="BF356">
        <f t="shared" si="291"/>
        <v>-34.387230565616868</v>
      </c>
      <c r="BG356">
        <f t="shared" si="292"/>
        <v>-165.191485636213</v>
      </c>
      <c r="BH356">
        <f t="shared" si="307"/>
        <v>14.808514363786998</v>
      </c>
      <c r="BI356">
        <f t="shared" si="308"/>
        <v>14.808514363786998</v>
      </c>
      <c r="BJ356">
        <f t="shared" si="293"/>
        <v>0</v>
      </c>
      <c r="BK356">
        <f t="shared" si="309"/>
        <v>0</v>
      </c>
      <c r="BM356">
        <f t="shared" si="310"/>
        <v>-43.488087167085666</v>
      </c>
      <c r="BN356">
        <f t="shared" si="294"/>
        <v>-91.222171560052672</v>
      </c>
      <c r="BQ356" s="66">
        <f t="shared" si="311"/>
        <v>26.002817401753934</v>
      </c>
      <c r="BR356" s="71"/>
      <c r="BS356" s="71"/>
      <c r="BT356" s="71">
        <v>288403.15000000002</v>
      </c>
      <c r="BU356" s="71">
        <v>14.961</v>
      </c>
      <c r="BV356" s="71">
        <v>-178.92099999999999</v>
      </c>
      <c r="BY356" s="71"/>
      <c r="BZ356" s="71"/>
      <c r="CA356" s="71"/>
      <c r="CC356" s="71"/>
    </row>
    <row r="357" spans="1:81" x14ac:dyDescent="0.2">
      <c r="A357">
        <f t="shared" si="263"/>
        <v>715000</v>
      </c>
      <c r="B357">
        <f t="shared" si="295"/>
        <v>715</v>
      </c>
      <c r="C357">
        <f t="shared" si="264"/>
        <v>44.486767863253796</v>
      </c>
      <c r="D357">
        <f t="shared" si="265"/>
        <v>1.5483158391865131</v>
      </c>
      <c r="F357">
        <f t="shared" si="266"/>
        <v>9.9591948306581941E-6</v>
      </c>
      <c r="G357">
        <f t="shared" si="267"/>
        <v>1.298681665747714E-3</v>
      </c>
      <c r="H357">
        <f t="shared" si="268"/>
        <v>-3.1402939683342526</v>
      </c>
      <c r="J357">
        <f t="shared" si="269"/>
        <v>15</v>
      </c>
      <c r="M357">
        <f t="shared" si="270"/>
        <v>4.7181806404892526E-3</v>
      </c>
      <c r="N357">
        <f t="shared" si="271"/>
        <v>-1.5707963250000001</v>
      </c>
      <c r="O357">
        <f t="shared" si="272"/>
        <v>211.86759838241247</v>
      </c>
      <c r="P357">
        <f t="shared" si="273"/>
        <v>1.5660763803725699</v>
      </c>
      <c r="Q357">
        <f t="shared" si="274"/>
        <v>293.54018251318331</v>
      </c>
      <c r="R357">
        <f t="shared" si="275"/>
        <v>1.5673896315830076</v>
      </c>
      <c r="S357">
        <f t="shared" si="276"/>
        <v>3.7447508034615273E-2</v>
      </c>
      <c r="T357">
        <f t="shared" si="277"/>
        <v>-1.5333400610269297</v>
      </c>
      <c r="U357">
        <f t="shared" si="278"/>
        <v>0.99674887676917834</v>
      </c>
      <c r="V357">
        <f t="shared" si="279"/>
        <v>-8.0658370841552127E-2</v>
      </c>
      <c r="X357">
        <f t="shared" si="296"/>
        <v>-22.758766265309312</v>
      </c>
      <c r="Y357">
        <f t="shared" si="280"/>
        <v>-94.154548436098437</v>
      </c>
      <c r="Z357">
        <f t="shared" si="297"/>
        <v>85.845451563901563</v>
      </c>
      <c r="AC357">
        <v>1</v>
      </c>
      <c r="AD357">
        <f t="shared" si="281"/>
        <v>211.86523840482002</v>
      </c>
      <c r="AE357">
        <f t="shared" si="282"/>
        <v>-9.5179981434120474E-4</v>
      </c>
      <c r="AF357">
        <f t="shared" si="283"/>
        <v>1.1774783499979501E-2</v>
      </c>
      <c r="AG357">
        <f t="shared" si="298"/>
        <v>17869.506372357479</v>
      </c>
      <c r="AH357">
        <f t="shared" si="299"/>
        <v>-1529.3863235455815</v>
      </c>
      <c r="AJ357">
        <f t="shared" si="284"/>
        <v>18000</v>
      </c>
      <c r="AK357">
        <f t="shared" si="285"/>
        <v>480335.69317733997</v>
      </c>
      <c r="AL357">
        <v>1</v>
      </c>
      <c r="AM357">
        <f t="shared" si="286"/>
        <v>293.53847916392999</v>
      </c>
      <c r="AN357">
        <f t="shared" si="300"/>
        <v>1636.5535449933329</v>
      </c>
      <c r="AO357">
        <f t="shared" si="301"/>
        <v>-55.745490341211145</v>
      </c>
      <c r="AQ357">
        <f t="shared" si="287"/>
        <v>4.8902122890056784E-3</v>
      </c>
      <c r="AR357">
        <f t="shared" si="288"/>
        <v>-6.9930035732781199</v>
      </c>
      <c r="AT357">
        <f t="shared" si="313"/>
        <v>-10607.618345816369</v>
      </c>
      <c r="AU357">
        <f t="shared" si="314"/>
        <v>-124969.00093840602</v>
      </c>
      <c r="AV357">
        <f t="shared" si="302"/>
        <v>-1.6554753434734657</v>
      </c>
      <c r="AW357">
        <f t="shared" si="303"/>
        <v>41398.583467540513</v>
      </c>
      <c r="AX357">
        <f t="shared" si="304"/>
        <v>-15702.727615265176</v>
      </c>
      <c r="AY357">
        <f t="shared" si="312"/>
        <v>-0.36254036531872741</v>
      </c>
      <c r="BA357">
        <f t="shared" si="289"/>
        <v>2.8326103841702217</v>
      </c>
      <c r="BB357">
        <f t="shared" si="305"/>
        <v>9.0437368582774962</v>
      </c>
      <c r="BC357">
        <f t="shared" si="306"/>
        <v>-1.2929349781547383</v>
      </c>
      <c r="BD357">
        <f t="shared" si="290"/>
        <v>-254.0797175177542</v>
      </c>
      <c r="BF357">
        <f t="shared" si="291"/>
        <v>-34.505336316189442</v>
      </c>
      <c r="BG357">
        <f t="shared" si="292"/>
        <v>-165.29334549927916</v>
      </c>
      <c r="BH357">
        <f t="shared" si="307"/>
        <v>14.706654500720845</v>
      </c>
      <c r="BI357">
        <f t="shared" si="308"/>
        <v>14.706654500720845</v>
      </c>
      <c r="BJ357">
        <f t="shared" si="293"/>
        <v>0</v>
      </c>
      <c r="BK357">
        <f t="shared" si="309"/>
        <v>0</v>
      </c>
      <c r="BM357">
        <f t="shared" si="310"/>
        <v>-43.54907317446694</v>
      </c>
      <c r="BN357">
        <f t="shared" si="294"/>
        <v>-91.213627981524937</v>
      </c>
      <c r="BQ357" s="66">
        <f t="shared" si="311"/>
        <v>25.945697658562633</v>
      </c>
      <c r="BR357" s="71"/>
      <c r="BS357" s="71"/>
      <c r="BT357" s="71">
        <v>295120.92300000001</v>
      </c>
      <c r="BU357" s="71">
        <v>14.946199999999999</v>
      </c>
      <c r="BV357" s="71">
        <v>-181.99</v>
      </c>
      <c r="BW357" s="75"/>
      <c r="BY357" s="71"/>
      <c r="BZ357" s="71"/>
      <c r="CA357" s="71"/>
      <c r="CC357" s="71"/>
    </row>
    <row r="358" spans="1:81" x14ac:dyDescent="0.2">
      <c r="A358">
        <f t="shared" si="263"/>
        <v>720000</v>
      </c>
      <c r="B358">
        <f t="shared" si="295"/>
        <v>720</v>
      </c>
      <c r="C358">
        <f t="shared" si="264"/>
        <v>44.797707494586739</v>
      </c>
      <c r="D358">
        <f t="shared" si="265"/>
        <v>1.5484719016381585</v>
      </c>
      <c r="F358">
        <f t="shared" si="266"/>
        <v>9.8213517148427779E-6</v>
      </c>
      <c r="G358">
        <f t="shared" si="267"/>
        <v>1.2896628738278499E-3</v>
      </c>
      <c r="H358">
        <f t="shared" si="268"/>
        <v>-3.1403029871261725</v>
      </c>
      <c r="J358">
        <f t="shared" si="269"/>
        <v>15</v>
      </c>
      <c r="M358">
        <f t="shared" si="270"/>
        <v>4.6854154971525215E-3</v>
      </c>
      <c r="N358">
        <f t="shared" si="271"/>
        <v>-1.5707963250000001</v>
      </c>
      <c r="O358">
        <f t="shared" si="272"/>
        <v>213.34915708759985</v>
      </c>
      <c r="P358">
        <f t="shared" si="273"/>
        <v>1.566109157296534</v>
      </c>
      <c r="Q358">
        <f t="shared" si="274"/>
        <v>295.59288732194699</v>
      </c>
      <c r="R358">
        <f t="shared" si="275"/>
        <v>1.5674132890075085</v>
      </c>
      <c r="S358">
        <f t="shared" si="276"/>
        <v>3.7187816786070894E-2</v>
      </c>
      <c r="T358">
        <f t="shared" si="277"/>
        <v>-1.5335999332893362</v>
      </c>
      <c r="U358">
        <f t="shared" si="278"/>
        <v>0.99670347290812311</v>
      </c>
      <c r="V358">
        <f t="shared" si="279"/>
        <v>-8.1219946657698647E-2</v>
      </c>
      <c r="X358">
        <f t="shared" si="296"/>
        <v>-22.819640248510026</v>
      </c>
      <c r="Y358">
        <f t="shared" si="280"/>
        <v>-94.189955513036068</v>
      </c>
      <c r="Z358">
        <f t="shared" si="297"/>
        <v>85.810044486963932</v>
      </c>
      <c r="AC358">
        <v>1</v>
      </c>
      <c r="AD358">
        <f t="shared" si="281"/>
        <v>213.34681349856004</v>
      </c>
      <c r="AE358">
        <f t="shared" si="282"/>
        <v>-9.6515824491071565E-4</v>
      </c>
      <c r="AF358">
        <f t="shared" si="283"/>
        <v>1.1857124643336001E-2</v>
      </c>
      <c r="AG358">
        <f t="shared" si="298"/>
        <v>17867.878427497548</v>
      </c>
      <c r="AH358">
        <f t="shared" si="299"/>
        <v>-1538.7651502521653</v>
      </c>
      <c r="AJ358">
        <f t="shared" si="284"/>
        <v>18000</v>
      </c>
      <c r="AK358">
        <f t="shared" si="285"/>
        <v>483694.68403871998</v>
      </c>
      <c r="AL358">
        <v>1</v>
      </c>
      <c r="AM358">
        <f t="shared" si="286"/>
        <v>295.59119580143999</v>
      </c>
      <c r="AN358">
        <f t="shared" si="300"/>
        <v>1636.5509165619608</v>
      </c>
      <c r="AO358">
        <f t="shared" si="301"/>
        <v>-55.358377772624863</v>
      </c>
      <c r="AQ358">
        <f t="shared" si="287"/>
        <v>4.822528538518259E-3</v>
      </c>
      <c r="AR358">
        <f t="shared" si="288"/>
        <v>-6.944441095466293</v>
      </c>
      <c r="AT358">
        <f t="shared" si="313"/>
        <v>-10599.695592043121</v>
      </c>
      <c r="AU358">
        <f t="shared" si="314"/>
        <v>-124089.84997956079</v>
      </c>
      <c r="AV358">
        <f t="shared" si="302"/>
        <v>-1.6560089986181459</v>
      </c>
      <c r="AW358">
        <f t="shared" si="303"/>
        <v>41400.222137971628</v>
      </c>
      <c r="AX358">
        <f t="shared" si="304"/>
        <v>-15638.589094277269</v>
      </c>
      <c r="AY358">
        <f t="shared" si="312"/>
        <v>-0.36117215787190715</v>
      </c>
      <c r="BA358">
        <f t="shared" si="289"/>
        <v>2.8141566565336751</v>
      </c>
      <c r="BB358">
        <f t="shared" si="305"/>
        <v>8.9869653955525717</v>
      </c>
      <c r="BC358">
        <f t="shared" si="306"/>
        <v>-1.2948368407462387</v>
      </c>
      <c r="BD358">
        <f t="shared" si="290"/>
        <v>-254.18868621758551</v>
      </c>
      <c r="BF358">
        <f t="shared" si="291"/>
        <v>-34.622668350098962</v>
      </c>
      <c r="BG358">
        <f t="shared" si="292"/>
        <v>-165.3938892179944</v>
      </c>
      <c r="BH358">
        <f t="shared" si="307"/>
        <v>14.606110782005601</v>
      </c>
      <c r="BI358">
        <f t="shared" si="308"/>
        <v>14.606110782005601</v>
      </c>
      <c r="BJ358">
        <f t="shared" si="293"/>
        <v>0</v>
      </c>
      <c r="BK358">
        <f t="shared" si="309"/>
        <v>0</v>
      </c>
      <c r="BM358">
        <f t="shared" si="310"/>
        <v>-43.609633745651529</v>
      </c>
      <c r="BN358">
        <f t="shared" si="294"/>
        <v>-91.205203000408886</v>
      </c>
      <c r="BQ358" s="66">
        <f t="shared" si="311"/>
        <v>25.888926195837708</v>
      </c>
      <c r="BR358" s="71"/>
      <c r="BS358" s="71"/>
      <c r="BT358" s="71">
        <v>301995.17200000002</v>
      </c>
      <c r="BU358" s="71">
        <v>15.1762</v>
      </c>
      <c r="BV358" s="71">
        <v>-183.36099999999999</v>
      </c>
      <c r="BW358" s="75"/>
      <c r="BY358" s="71"/>
      <c r="BZ358" s="71"/>
      <c r="CA358" s="71"/>
      <c r="CC358" s="71"/>
    </row>
    <row r="359" spans="1:81" x14ac:dyDescent="0.2">
      <c r="A359">
        <f t="shared" si="263"/>
        <v>725000</v>
      </c>
      <c r="B359">
        <f t="shared" si="295"/>
        <v>725</v>
      </c>
      <c r="C359">
        <f t="shared" si="264"/>
        <v>45.10864820194795</v>
      </c>
      <c r="D359">
        <f t="shared" si="265"/>
        <v>1.548625812569532</v>
      </c>
      <c r="F359">
        <f t="shared" si="266"/>
        <v>9.6863507139372957E-6</v>
      </c>
      <c r="G359">
        <f t="shared" si="267"/>
        <v>1.2807684825033414E-3</v>
      </c>
      <c r="H359">
        <f t="shared" si="268"/>
        <v>-3.1403118815174969</v>
      </c>
      <c r="J359">
        <f t="shared" si="269"/>
        <v>15</v>
      </c>
      <c r="M359">
        <f t="shared" si="270"/>
        <v>4.6531022868273311E-3</v>
      </c>
      <c r="N359">
        <f t="shared" si="271"/>
        <v>-1.5707963250000001</v>
      </c>
      <c r="O359">
        <f t="shared" si="272"/>
        <v>214.83071601883253</v>
      </c>
      <c r="P359">
        <f t="shared" si="273"/>
        <v>1.5661414821348594</v>
      </c>
      <c r="Q359">
        <f t="shared" si="274"/>
        <v>297.64559229386435</v>
      </c>
      <c r="R359">
        <f t="shared" si="275"/>
        <v>1.5674366201264147</v>
      </c>
      <c r="S359">
        <f t="shared" si="276"/>
        <v>3.693170010628858E-2</v>
      </c>
      <c r="T359">
        <f t="shared" si="277"/>
        <v>-1.5338562260298123</v>
      </c>
      <c r="U359">
        <f t="shared" si="278"/>
        <v>0.99665775891299302</v>
      </c>
      <c r="V359">
        <f t="shared" si="279"/>
        <v>-8.1781471137354109E-2</v>
      </c>
      <c r="X359">
        <f t="shared" si="296"/>
        <v>-22.880099108315846</v>
      </c>
      <c r="Y359">
        <f t="shared" si="280"/>
        <v>-94.225315301044589</v>
      </c>
      <c r="Z359">
        <f t="shared" si="297"/>
        <v>85.774684698955411</v>
      </c>
      <c r="AC359">
        <v>1</v>
      </c>
      <c r="AD359">
        <f t="shared" si="281"/>
        <v>214.82838859230003</v>
      </c>
      <c r="AE359">
        <f t="shared" si="282"/>
        <v>-9.7860976558872465E-4</v>
      </c>
      <c r="AF359">
        <f t="shared" si="283"/>
        <v>1.1939465786692501E-2</v>
      </c>
      <c r="AG359">
        <f t="shared" si="298"/>
        <v>17866.23943777191</v>
      </c>
      <c r="AH359">
        <f t="shared" si="299"/>
        <v>-1548.1493660086526</v>
      </c>
      <c r="AJ359">
        <f t="shared" si="284"/>
        <v>18000</v>
      </c>
      <c r="AK359">
        <f t="shared" si="285"/>
        <v>487053.67490009993</v>
      </c>
      <c r="AL359">
        <v>1</v>
      </c>
      <c r="AM359">
        <f t="shared" si="286"/>
        <v>297.64391243895</v>
      </c>
      <c r="AN359">
        <f t="shared" si="300"/>
        <v>1636.5483423233691</v>
      </c>
      <c r="AO359">
        <f t="shared" si="301"/>
        <v>-54.976604505670693</v>
      </c>
      <c r="AQ359">
        <f t="shared" si="287"/>
        <v>4.7562403061877263E-3</v>
      </c>
      <c r="AR359">
        <f t="shared" si="288"/>
        <v>-6.8965484439722022</v>
      </c>
      <c r="AT359">
        <f t="shared" si="313"/>
        <v>-10591.910973049593</v>
      </c>
      <c r="AU359">
        <f t="shared" si="314"/>
        <v>-123222.74916461526</v>
      </c>
      <c r="AV359">
        <f t="shared" si="302"/>
        <v>-1.656542987529213</v>
      </c>
      <c r="AW359">
        <f t="shared" si="303"/>
        <v>41401.726804657534</v>
      </c>
      <c r="AX359">
        <f t="shared" si="304"/>
        <v>-15575.638420638534</v>
      </c>
      <c r="AY359">
        <f t="shared" si="312"/>
        <v>-0.35982884360421585</v>
      </c>
      <c r="BA359">
        <f t="shared" si="289"/>
        <v>2.7959340090401645</v>
      </c>
      <c r="BB359">
        <f t="shared" si="305"/>
        <v>8.93053833540759</v>
      </c>
      <c r="BC359">
        <f t="shared" si="306"/>
        <v>-1.2967141439249972</v>
      </c>
      <c r="BD359">
        <f t="shared" si="290"/>
        <v>-254.29624776671778</v>
      </c>
      <c r="BF359">
        <f t="shared" si="291"/>
        <v>-34.739236442792489</v>
      </c>
      <c r="BG359">
        <f t="shared" si="292"/>
        <v>-165.49314193141274</v>
      </c>
      <c r="BH359">
        <f t="shared" si="307"/>
        <v>14.506858068587263</v>
      </c>
      <c r="BI359">
        <f t="shared" si="308"/>
        <v>14.506858068587263</v>
      </c>
      <c r="BJ359">
        <f t="shared" si="293"/>
        <v>0</v>
      </c>
      <c r="BK359">
        <f t="shared" si="309"/>
        <v>0</v>
      </c>
      <c r="BM359">
        <f t="shared" si="310"/>
        <v>-43.669774778200079</v>
      </c>
      <c r="BN359">
        <f t="shared" si="294"/>
        <v>-91.196894164694982</v>
      </c>
      <c r="BQ359" s="66">
        <f t="shared" si="311"/>
        <v>25.832499135692725</v>
      </c>
      <c r="BR359" s="71"/>
      <c r="BS359" s="71"/>
      <c r="BT359" s="71">
        <v>309029.54300000001</v>
      </c>
      <c r="BU359" s="71">
        <v>15.284700000000001</v>
      </c>
      <c r="BV359" s="71">
        <v>-186.209</v>
      </c>
      <c r="BW359" s="75"/>
      <c r="BY359" s="71"/>
      <c r="BZ359" s="71"/>
      <c r="CA359" s="71"/>
      <c r="CC359" s="71"/>
    </row>
    <row r="360" spans="1:81" x14ac:dyDescent="0.2">
      <c r="A360">
        <f t="shared" si="263"/>
        <v>730000</v>
      </c>
      <c r="B360">
        <f t="shared" si="295"/>
        <v>730</v>
      </c>
      <c r="C360">
        <f t="shared" si="264"/>
        <v>45.419589963238103</v>
      </c>
      <c r="D360">
        <f t="shared" si="265"/>
        <v>1.5487776161610818</v>
      </c>
      <c r="F360">
        <f t="shared" si="266"/>
        <v>9.5541142279126295E-6</v>
      </c>
      <c r="G360">
        <f t="shared" si="267"/>
        <v>1.2719959355036003E-3</v>
      </c>
      <c r="H360">
        <f t="shared" si="268"/>
        <v>-3.1403206540644968</v>
      </c>
      <c r="J360">
        <f t="shared" si="269"/>
        <v>15</v>
      </c>
      <c r="M360">
        <f t="shared" si="270"/>
        <v>4.6212317232189248E-3</v>
      </c>
      <c r="N360">
        <f t="shared" si="271"/>
        <v>-1.5707963250000001</v>
      </c>
      <c r="O360">
        <f t="shared" si="272"/>
        <v>216.31227517146584</v>
      </c>
      <c r="P360">
        <f t="shared" si="273"/>
        <v>1.566173364176709</v>
      </c>
      <c r="Q360">
        <f t="shared" si="274"/>
        <v>299.69829742558306</v>
      </c>
      <c r="R360">
        <f t="shared" si="275"/>
        <v>1.5674596316445353</v>
      </c>
      <c r="S360">
        <f t="shared" si="276"/>
        <v>3.6679084744990327E-2</v>
      </c>
      <c r="T360">
        <f t="shared" si="277"/>
        <v>-1.5341090126668642</v>
      </c>
      <c r="U360">
        <f t="shared" si="278"/>
        <v>0.99661173491293698</v>
      </c>
      <c r="V360">
        <f t="shared" si="279"/>
        <v>-8.2342943933498031E-2</v>
      </c>
      <c r="X360">
        <f t="shared" si="296"/>
        <v>-22.940148573477941</v>
      </c>
      <c r="Y360">
        <f t="shared" si="280"/>
        <v>-94.260628685534996</v>
      </c>
      <c r="Z360">
        <f t="shared" si="297"/>
        <v>85.739371314465004</v>
      </c>
      <c r="AC360">
        <v>1</v>
      </c>
      <c r="AD360">
        <f t="shared" si="281"/>
        <v>216.30996368604002</v>
      </c>
      <c r="AE360">
        <f t="shared" si="282"/>
        <v>-9.9215437637523206E-4</v>
      </c>
      <c r="AF360">
        <f t="shared" si="283"/>
        <v>1.2021806930049001E-2</v>
      </c>
      <c r="AG360">
        <f t="shared" ref="AG360:AG423" si="315">AC360*AE360/(AE360^2+AF360^2)+AD360*AF360/(AE360^2+AF360^2)</f>
        <v>17864.589409340653</v>
      </c>
      <c r="AH360">
        <f t="shared" ref="AH360:AH423" si="316">AD360*AE360/(AE360^2+AF360^2)-AC360*AF360/(AE360^2+AF360^2)</f>
        <v>-1557.5387854401047</v>
      </c>
      <c r="AJ360">
        <f t="shared" si="284"/>
        <v>18000</v>
      </c>
      <c r="AK360">
        <f t="shared" si="285"/>
        <v>490412.66576147999</v>
      </c>
      <c r="AL360">
        <v>1</v>
      </c>
      <c r="AM360">
        <f t="shared" si="286"/>
        <v>299.69662907646</v>
      </c>
      <c r="AN360">
        <f t="shared" ref="AN360:AN423" si="317">AJ360*AL360/(AL360^2+AM360^2)+AK360*AM360/(AL360^2+AM360^2)</f>
        <v>1636.5458207979486</v>
      </c>
      <c r="AO360">
        <f t="shared" ref="AO360:AO423" si="318">AK360*AL360/(AL360^2+AM360^2)-AJ360*AM360/(AL360^2+AM360^2)</f>
        <v>-54.600060833608282</v>
      </c>
      <c r="AQ360">
        <f t="shared" si="287"/>
        <v>4.691309489909228E-3</v>
      </c>
      <c r="AR360">
        <f t="shared" si="288"/>
        <v>-6.849311855267473</v>
      </c>
      <c r="AT360">
        <f t="shared" si="313"/>
        <v>-10584.260550324439</v>
      </c>
      <c r="AU360">
        <f t="shared" si="314"/>
        <v>-122367.45092736772</v>
      </c>
      <c r="AV360">
        <f t="shared" si="302"/>
        <v>-1.6570773019468403</v>
      </c>
      <c r="AW360">
        <f t="shared" si="303"/>
        <v>41403.100462627146</v>
      </c>
      <c r="AX360">
        <f t="shared" si="304"/>
        <v>-15513.851006648303</v>
      </c>
      <c r="AY360">
        <f t="shared" si="312"/>
        <v>-0.35850994474350795</v>
      </c>
      <c r="BA360">
        <f t="shared" si="289"/>
        <v>2.7779382828620229</v>
      </c>
      <c r="BB360">
        <f t="shared" si="305"/>
        <v>8.874451856756167</v>
      </c>
      <c r="BC360">
        <f t="shared" si="306"/>
        <v>-1.2985673572033325</v>
      </c>
      <c r="BD360">
        <f t="shared" si="290"/>
        <v>-254.40242906622532</v>
      </c>
      <c r="BF360">
        <f t="shared" si="291"/>
        <v>-34.855050191068507</v>
      </c>
      <c r="BG360">
        <f t="shared" si="292"/>
        <v>-165.59112815571888</v>
      </c>
      <c r="BH360">
        <f t="shared" si="307"/>
        <v>14.408871844281123</v>
      </c>
      <c r="BI360">
        <f t="shared" si="308"/>
        <v>14.408871844281123</v>
      </c>
      <c r="BJ360">
        <f t="shared" si="293"/>
        <v>0</v>
      </c>
      <c r="BK360">
        <f t="shared" si="309"/>
        <v>0</v>
      </c>
      <c r="BM360">
        <f t="shared" si="310"/>
        <v>-43.729502047824681</v>
      </c>
      <c r="BN360">
        <f t="shared" si="294"/>
        <v>-91.188699089493554</v>
      </c>
      <c r="BQ360" s="66">
        <f t="shared" si="311"/>
        <v>25.776412657041302</v>
      </c>
      <c r="BR360" s="71"/>
      <c r="BS360" s="71"/>
      <c r="BT360" s="71">
        <v>316227.766</v>
      </c>
      <c r="BU360" s="71">
        <v>15.331799999999999</v>
      </c>
      <c r="BV360" s="71">
        <v>-189.75</v>
      </c>
      <c r="BW360" s="75"/>
      <c r="BY360" s="71"/>
      <c r="BZ360" s="71"/>
      <c r="CA360" s="71"/>
      <c r="CC360" s="71"/>
    </row>
    <row r="361" spans="1:81" x14ac:dyDescent="0.2">
      <c r="A361">
        <f t="shared" si="263"/>
        <v>735000</v>
      </c>
      <c r="B361">
        <f t="shared" si="295"/>
        <v>735</v>
      </c>
      <c r="C361">
        <f t="shared" si="264"/>
        <v>45.730532756958837</v>
      </c>
      <c r="D361">
        <f t="shared" si="265"/>
        <v>1.5489273553920395</v>
      </c>
      <c r="F361">
        <f t="shared" si="266"/>
        <v>9.4245672872338979E-6</v>
      </c>
      <c r="G361">
        <f t="shared" si="267"/>
        <v>1.2633427461195865E-3</v>
      </c>
      <c r="H361">
        <f t="shared" si="268"/>
        <v>-3.1403293072538805</v>
      </c>
      <c r="J361">
        <f t="shared" si="269"/>
        <v>15</v>
      </c>
      <c r="M361">
        <f t="shared" si="270"/>
        <v>4.5897947727208373E-3</v>
      </c>
      <c r="N361">
        <f t="shared" si="271"/>
        <v>-1.5707963250000001</v>
      </c>
      <c r="O361">
        <f t="shared" si="272"/>
        <v>217.79383454098149</v>
      </c>
      <c r="P361">
        <f t="shared" si="273"/>
        <v>1.5662048124584897</v>
      </c>
      <c r="Q361">
        <f t="shared" si="274"/>
        <v>301.75100271384184</v>
      </c>
      <c r="R361">
        <f t="shared" si="275"/>
        <v>1.5674823300842389</v>
      </c>
      <c r="S361">
        <f t="shared" si="276"/>
        <v>3.6429899438390999E-2</v>
      </c>
      <c r="T361">
        <f t="shared" si="277"/>
        <v>-1.5343583646256966</v>
      </c>
      <c r="U361">
        <f t="shared" si="278"/>
        <v>0.99656540103794844</v>
      </c>
      <c r="V361">
        <f t="shared" si="279"/>
        <v>-8.2904364699304234E-2</v>
      </c>
      <c r="X361">
        <f t="shared" si="296"/>
        <v>-22.999794255793596</v>
      </c>
      <c r="Y361">
        <f t="shared" si="280"/>
        <v>-94.295896527495486</v>
      </c>
      <c r="Z361">
        <f t="shared" si="297"/>
        <v>85.704103472504514</v>
      </c>
      <c r="AC361">
        <v>1</v>
      </c>
      <c r="AD361">
        <f t="shared" si="281"/>
        <v>217.79153877978004</v>
      </c>
      <c r="AE361">
        <f t="shared" si="282"/>
        <v>-1.0057920772702379E-3</v>
      </c>
      <c r="AF361">
        <f t="shared" si="283"/>
        <v>1.2104148073405501E-2</v>
      </c>
      <c r="AG361">
        <f t="shared" si="315"/>
        <v>17862.928348403646</v>
      </c>
      <c r="AH361">
        <f t="shared" si="316"/>
        <v>-1566.9332277372023</v>
      </c>
      <c r="AJ361">
        <f t="shared" si="284"/>
        <v>18000</v>
      </c>
      <c r="AK361">
        <f t="shared" si="285"/>
        <v>493771.65662286</v>
      </c>
      <c r="AL361">
        <v>1</v>
      </c>
      <c r="AM361">
        <f t="shared" si="286"/>
        <v>301.74934571397</v>
      </c>
      <c r="AN361">
        <f t="shared" si="317"/>
        <v>1636.5433505562437</v>
      </c>
      <c r="AO361">
        <f t="shared" si="318"/>
        <v>-54.228640034748487</v>
      </c>
      <c r="AQ361">
        <f t="shared" si="287"/>
        <v>4.627699279143283E-3</v>
      </c>
      <c r="AR361">
        <f t="shared" si="288"/>
        <v>-6.8027179403406262</v>
      </c>
      <c r="AT361">
        <f t="shared" si="313"/>
        <v>-10576.740519002415</v>
      </c>
      <c r="AU361">
        <f t="shared" si="314"/>
        <v>-121523.71443847309</v>
      </c>
      <c r="AV361">
        <f t="shared" si="302"/>
        <v>-1.6576119338267006</v>
      </c>
      <c r="AW361">
        <f t="shared" si="303"/>
        <v>41404.346005946732</v>
      </c>
      <c r="AX361">
        <f t="shared" si="304"/>
        <v>-15453.202932994285</v>
      </c>
      <c r="AY361">
        <f t="shared" si="312"/>
        <v>-0.35721499540878138</v>
      </c>
      <c r="BA361">
        <f t="shared" si="289"/>
        <v>2.7601654142291965</v>
      </c>
      <c r="BB361">
        <f t="shared" si="305"/>
        <v>8.818702194451582</v>
      </c>
      <c r="BC361">
        <f t="shared" si="306"/>
        <v>-1.3003969384179193</v>
      </c>
      <c r="BD361">
        <f t="shared" si="290"/>
        <v>-254.50725634821734</v>
      </c>
      <c r="BF361">
        <f t="shared" si="291"/>
        <v>-34.970119017272665</v>
      </c>
      <c r="BG361">
        <f t="shared" si="292"/>
        <v>-165.68787180297127</v>
      </c>
      <c r="BH361">
        <f t="shared" si="307"/>
        <v>14.312128197028727</v>
      </c>
      <c r="BI361">
        <f t="shared" si="308"/>
        <v>14.312128197028727</v>
      </c>
      <c r="BJ361">
        <f t="shared" si="293"/>
        <v>0</v>
      </c>
      <c r="BK361">
        <f t="shared" si="309"/>
        <v>0</v>
      </c>
      <c r="BM361">
        <f t="shared" si="310"/>
        <v>-43.788821211724247</v>
      </c>
      <c r="BN361">
        <f t="shared" si="294"/>
        <v>-91.180615454753934</v>
      </c>
      <c r="BQ361" s="66">
        <f t="shared" si="311"/>
        <v>25.72066299473672</v>
      </c>
      <c r="BR361" s="71"/>
      <c r="BS361" s="71"/>
      <c r="BT361" s="71">
        <v>323593.65700000001</v>
      </c>
      <c r="BU361" s="71">
        <v>15.3347</v>
      </c>
      <c r="BV361" s="71">
        <v>-192.398</v>
      </c>
      <c r="BW361" s="75"/>
      <c r="BY361" s="71"/>
      <c r="BZ361" s="71"/>
      <c r="CA361" s="71"/>
      <c r="CC361" s="71"/>
    </row>
    <row r="362" spans="1:81" x14ac:dyDescent="0.2">
      <c r="A362">
        <f t="shared" si="263"/>
        <v>740000</v>
      </c>
      <c r="B362">
        <f t="shared" si="295"/>
        <v>740</v>
      </c>
      <c r="C362">
        <f t="shared" si="264"/>
        <v>46.041476562192472</v>
      </c>
      <c r="D362">
        <f t="shared" si="265"/>
        <v>1.549075072080961</v>
      </c>
      <c r="F362">
        <f t="shared" si="266"/>
        <v>9.2976374465785822E-6</v>
      </c>
      <c r="G362">
        <f t="shared" si="267"/>
        <v>1.2548064948536273E-3</v>
      </c>
      <c r="H362">
        <f t="shared" si="268"/>
        <v>-3.1403378435051468</v>
      </c>
      <c r="J362">
        <f t="shared" si="269"/>
        <v>15</v>
      </c>
      <c r="M362">
        <f t="shared" si="270"/>
        <v>4.5587826458781287E-3</v>
      </c>
      <c r="N362">
        <f t="shared" si="271"/>
        <v>-1.5707963250000001</v>
      </c>
      <c r="O362">
        <f t="shared" si="272"/>
        <v>219.27539412298336</v>
      </c>
      <c r="P362">
        <f t="shared" si="273"/>
        <v>1.5662358357723885</v>
      </c>
      <c r="Q362">
        <f t="shared" si="274"/>
        <v>303.80370815546763</v>
      </c>
      <c r="R362">
        <f t="shared" si="275"/>
        <v>1.5675047217916167</v>
      </c>
      <c r="S362">
        <f t="shared" si="276"/>
        <v>3.6184074842355855E-2</v>
      </c>
      <c r="T362">
        <f t="shared" si="277"/>
        <v>-1.5346043514053751</v>
      </c>
      <c r="U362">
        <f t="shared" si="278"/>
        <v>0.99651875741886409</v>
      </c>
      <c r="V362">
        <f t="shared" si="279"/>
        <v>-8.3465733088141952E-2</v>
      </c>
      <c r="X362">
        <f t="shared" si="296"/>
        <v>-23.059041653264973</v>
      </c>
      <c r="Y362">
        <f t="shared" si="280"/>
        <v>-94.331119664309625</v>
      </c>
      <c r="Z362">
        <f t="shared" si="297"/>
        <v>85.668880335690375</v>
      </c>
      <c r="AC362">
        <v>1</v>
      </c>
      <c r="AD362">
        <f t="shared" si="281"/>
        <v>219.27311387352003</v>
      </c>
      <c r="AE362">
        <f t="shared" si="282"/>
        <v>-1.0195228682737421E-3</v>
      </c>
      <c r="AF362">
        <f t="shared" si="283"/>
        <v>1.2186489216762001E-2</v>
      </c>
      <c r="AG362">
        <f t="shared" si="315"/>
        <v>17861.256261200451</v>
      </c>
      <c r="AH362">
        <f t="shared" si="316"/>
        <v>-1576.3325165026963</v>
      </c>
      <c r="AJ362">
        <f t="shared" si="284"/>
        <v>18000</v>
      </c>
      <c r="AK362">
        <f t="shared" si="285"/>
        <v>497130.64748423995</v>
      </c>
      <c r="AL362">
        <v>1</v>
      </c>
      <c r="AM362">
        <f t="shared" si="286"/>
        <v>303.80206235148</v>
      </c>
      <c r="AN362">
        <f t="shared" si="317"/>
        <v>1636.5409302169257</v>
      </c>
      <c r="AO362">
        <f t="shared" si="318"/>
        <v>-53.862238271613762</v>
      </c>
      <c r="AQ362">
        <f t="shared" si="287"/>
        <v>4.5653741027327872E-3</v>
      </c>
      <c r="AR362">
        <f t="shared" si="288"/>
        <v>-6.7567536720445256</v>
      </c>
      <c r="AT362">
        <f t="shared" si="313"/>
        <v>-10569.347202465622</v>
      </c>
      <c r="AU362">
        <f t="shared" si="314"/>
        <v>-120691.30537784257</v>
      </c>
      <c r="AV362">
        <f t="shared" si="302"/>
        <v>-1.6581468753326947</v>
      </c>
      <c r="AW362">
        <f t="shared" si="303"/>
        <v>41405.46623180226</v>
      </c>
      <c r="AX362">
        <f t="shared" si="304"/>
        <v>-15393.670926156967</v>
      </c>
      <c r="AY362">
        <f t="shared" si="312"/>
        <v>-0.35594354124903416</v>
      </c>
      <c r="BA362">
        <f t="shared" si="289"/>
        <v>2.7426114318702868</v>
      </c>
      <c r="BB362">
        <f t="shared" si="305"/>
        <v>8.7632856384316753</v>
      </c>
      <c r="BC362">
        <f t="shared" si="306"/>
        <v>-1.3022033340836605</v>
      </c>
      <c r="BD362">
        <f t="shared" si="290"/>
        <v>-254.6107551961133</v>
      </c>
      <c r="BF362">
        <f t="shared" si="291"/>
        <v>-35.084452173374807</v>
      </c>
      <c r="BG362">
        <f t="shared" si="292"/>
        <v>-165.78339619918967</v>
      </c>
      <c r="BH362">
        <f t="shared" si="307"/>
        <v>14.216603800810333</v>
      </c>
      <c r="BI362">
        <f t="shared" si="308"/>
        <v>14.216603800810333</v>
      </c>
      <c r="BJ362">
        <f t="shared" si="293"/>
        <v>0</v>
      </c>
      <c r="BK362">
        <f t="shared" si="309"/>
        <v>0</v>
      </c>
      <c r="BM362">
        <f t="shared" si="310"/>
        <v>-43.847737811806482</v>
      </c>
      <c r="BN362">
        <f t="shared" si="294"/>
        <v>-91.172641003076393</v>
      </c>
      <c r="BQ362" s="66">
        <f t="shared" si="311"/>
        <v>25.66524643871681</v>
      </c>
      <c r="BR362" s="71"/>
      <c r="BS362" s="71"/>
      <c r="BT362" s="71">
        <v>331131.12099999998</v>
      </c>
      <c r="BU362" s="71">
        <v>15.331</v>
      </c>
      <c r="BV362" s="71">
        <v>-194.60300000000001</v>
      </c>
      <c r="BW362" s="75"/>
      <c r="BY362" s="71"/>
      <c r="BZ362" s="71"/>
      <c r="CA362" s="71"/>
      <c r="CC362" s="71"/>
    </row>
    <row r="363" spans="1:81" x14ac:dyDescent="0.2">
      <c r="A363">
        <f t="shared" si="263"/>
        <v>745000</v>
      </c>
      <c r="B363">
        <f t="shared" si="295"/>
        <v>745</v>
      </c>
      <c r="C363">
        <f t="shared" si="264"/>
        <v>46.352421358582554</v>
      </c>
      <c r="D363">
        <f t="shared" si="265"/>
        <v>1.5492208069246396</v>
      </c>
      <c r="F363">
        <f t="shared" si="266"/>
        <v>9.1732546835310058E-6</v>
      </c>
      <c r="G363">
        <f t="shared" si="267"/>
        <v>1.2463848271638829E-3</v>
      </c>
      <c r="H363">
        <f t="shared" si="268"/>
        <v>-3.1403462651728362</v>
      </c>
      <c r="J363">
        <f t="shared" si="269"/>
        <v>15</v>
      </c>
      <c r="M363">
        <f t="shared" si="270"/>
        <v>4.5281867891943826E-3</v>
      </c>
      <c r="N363">
        <f t="shared" si="271"/>
        <v>-1.5707963250000001</v>
      </c>
      <c r="O363">
        <f t="shared" si="272"/>
        <v>220.7569539131932</v>
      </c>
      <c r="P363">
        <f t="shared" si="273"/>
        <v>1.5662664426745692</v>
      </c>
      <c r="Q363">
        <f t="shared" si="274"/>
        <v>305.85641374737253</v>
      </c>
      <c r="R363">
        <f t="shared" si="275"/>
        <v>1.5675268129423987</v>
      </c>
      <c r="S363">
        <f t="shared" si="276"/>
        <v>3.5941543468237198E-2</v>
      </c>
      <c r="T363">
        <f t="shared" si="277"/>
        <v>-1.534847040643291</v>
      </c>
      <c r="U363">
        <f t="shared" si="278"/>
        <v>0.99647180418736125</v>
      </c>
      <c r="V363">
        <f t="shared" si="279"/>
        <v>-8.4027048753577208E-2</v>
      </c>
      <c r="X363">
        <f t="shared" si="296"/>
        <v>-23.117896153152145</v>
      </c>
      <c r="Y363">
        <f t="shared" si="280"/>
        <v>-94.366298910540621</v>
      </c>
      <c r="Z363">
        <f t="shared" si="297"/>
        <v>85.633701089459379</v>
      </c>
      <c r="AC363">
        <v>1</v>
      </c>
      <c r="AD363">
        <f t="shared" si="281"/>
        <v>220.75468896726002</v>
      </c>
      <c r="AE363">
        <f t="shared" si="282"/>
        <v>-1.0333467493857445E-3</v>
      </c>
      <c r="AF363">
        <f t="shared" si="283"/>
        <v>1.2268830360118501E-2</v>
      </c>
      <c r="AG363">
        <f t="shared" si="315"/>
        <v>17859.573154010297</v>
      </c>
      <c r="AH363">
        <f t="shared" si="316"/>
        <v>-1585.7364796040374</v>
      </c>
      <c r="AJ363">
        <f t="shared" si="284"/>
        <v>18000</v>
      </c>
      <c r="AK363">
        <f t="shared" si="285"/>
        <v>500489.63834562001</v>
      </c>
      <c r="AL363">
        <v>1</v>
      </c>
      <c r="AM363">
        <f t="shared" si="286"/>
        <v>305.85477898898995</v>
      </c>
      <c r="AN363">
        <f t="shared" si="317"/>
        <v>1636.5385584448643</v>
      </c>
      <c r="AO363">
        <f t="shared" si="318"/>
        <v>-53.500754494158755</v>
      </c>
      <c r="AQ363">
        <f t="shared" si="287"/>
        <v>4.50429957916329E-3</v>
      </c>
      <c r="AR363">
        <f t="shared" si="288"/>
        <v>-6.7114063729533022</v>
      </c>
      <c r="AT363">
        <f t="shared" si="313"/>
        <v>-10562.077047197427</v>
      </c>
      <c r="AU363">
        <f t="shared" si="314"/>
        <v>-119869.99571620816</v>
      </c>
      <c r="AV363">
        <f t="shared" si="302"/>
        <v>-1.658682118829971</v>
      </c>
      <c r="AW363">
        <f t="shared" si="303"/>
        <v>41406.463844391015</v>
      </c>
      <c r="AX363">
        <f t="shared" si="304"/>
        <v>-15335.232336724668</v>
      </c>
      <c r="AY363">
        <f t="shared" si="312"/>
        <v>-0.35469513909494754</v>
      </c>
      <c r="BA363">
        <f t="shared" si="289"/>
        <v>2.725272454529831</v>
      </c>
      <c r="BB363">
        <f t="shared" si="305"/>
        <v>8.7081985328696039</v>
      </c>
      <c r="BC363">
        <f t="shared" si="306"/>
        <v>-1.3039869797350234</v>
      </c>
      <c r="BD363">
        <f t="shared" si="290"/>
        <v>-254.71295056420004</v>
      </c>
      <c r="BF363">
        <f t="shared" si="291"/>
        <v>-35.198058744931352</v>
      </c>
      <c r="BG363">
        <f t="shared" si="292"/>
        <v>-165.87772410181171</v>
      </c>
      <c r="BH363">
        <f t="shared" si="307"/>
        <v>14.122275898188292</v>
      </c>
      <c r="BI363">
        <f t="shared" si="308"/>
        <v>14.122275898188292</v>
      </c>
      <c r="BJ363">
        <f t="shared" si="293"/>
        <v>0</v>
      </c>
      <c r="BK363">
        <f t="shared" si="309"/>
        <v>0</v>
      </c>
      <c r="BM363">
        <f t="shared" si="310"/>
        <v>-43.906257277800961</v>
      </c>
      <c r="BN363">
        <f t="shared" si="294"/>
        <v>-91.164773537611694</v>
      </c>
      <c r="BQ363" s="66">
        <f t="shared" si="311"/>
        <v>25.610159333154741</v>
      </c>
      <c r="BR363" s="71"/>
      <c r="BS363" s="71"/>
      <c r="BT363" s="71">
        <v>338844.15600000002</v>
      </c>
      <c r="BU363" s="71">
        <v>15.2844</v>
      </c>
      <c r="BV363" s="71">
        <v>-197.85300000000001</v>
      </c>
      <c r="BW363" s="75"/>
      <c r="BY363" s="71"/>
      <c r="BZ363" s="71"/>
      <c r="CA363" s="71"/>
      <c r="CC363" s="71"/>
    </row>
    <row r="364" spans="1:81" x14ac:dyDescent="0.2">
      <c r="A364">
        <f t="shared" ref="A364:A427" si="319">A363+5000</f>
        <v>750000</v>
      </c>
      <c r="B364">
        <f t="shared" si="295"/>
        <v>750</v>
      </c>
      <c r="C364">
        <f t="shared" si="264"/>
        <v>46.663367126315158</v>
      </c>
      <c r="D364">
        <f t="shared" si="265"/>
        <v>1.5493645995354626</v>
      </c>
      <c r="F364">
        <f t="shared" si="266"/>
        <v>9.0513513019886693E-6</v>
      </c>
      <c r="G364">
        <f t="shared" si="267"/>
        <v>1.238075451299038E-3</v>
      </c>
      <c r="H364">
        <f t="shared" si="268"/>
        <v>-3.1403545745487014</v>
      </c>
      <c r="J364">
        <f t="shared" si="269"/>
        <v>15</v>
      </c>
      <c r="M364">
        <f t="shared" si="270"/>
        <v>4.4979988772664205E-3</v>
      </c>
      <c r="N364">
        <f t="shared" si="271"/>
        <v>-1.5707963250000001</v>
      </c>
      <c r="O364">
        <f t="shared" si="272"/>
        <v>222.23851390744704</v>
      </c>
      <c r="P364">
        <f t="shared" si="273"/>
        <v>1.5662966414930393</v>
      </c>
      <c r="Q364">
        <f t="shared" si="274"/>
        <v>307.90911948655099</v>
      </c>
      <c r="R364">
        <f t="shared" si="275"/>
        <v>1.5675486095476314</v>
      </c>
      <c r="S364">
        <f t="shared" si="276"/>
        <v>3.5702239621265827E-2</v>
      </c>
      <c r="T364">
        <f t="shared" si="277"/>
        <v>-1.5350864981770562</v>
      </c>
      <c r="U364">
        <f t="shared" si="278"/>
        <v>0.9964245414759586</v>
      </c>
      <c r="V364">
        <f t="shared" si="279"/>
        <v>-8.4588311349373946E-2</v>
      </c>
      <c r="X364">
        <f t="shared" si="296"/>
        <v>-23.176363034924439</v>
      </c>
      <c r="Y364">
        <f t="shared" si="280"/>
        <v>-94.40143505868582</v>
      </c>
      <c r="Z364">
        <f t="shared" si="297"/>
        <v>85.59856494131418</v>
      </c>
      <c r="AC364">
        <v>1</v>
      </c>
      <c r="AD364">
        <f t="shared" si="281"/>
        <v>222.23626406100004</v>
      </c>
      <c r="AE364">
        <f t="shared" si="282"/>
        <v>-1.0472637206062453E-3</v>
      </c>
      <c r="AF364">
        <f t="shared" si="283"/>
        <v>1.2351171503475001E-2</v>
      </c>
      <c r="AG364">
        <f t="shared" si="315"/>
        <v>17857.879033151992</v>
      </c>
      <c r="AH364">
        <f t="shared" si="316"/>
        <v>-1595.1449490319108</v>
      </c>
      <c r="AJ364">
        <f t="shared" si="284"/>
        <v>18000</v>
      </c>
      <c r="AK364">
        <f t="shared" si="285"/>
        <v>503848.62920699996</v>
      </c>
      <c r="AL364">
        <v>1</v>
      </c>
      <c r="AM364">
        <f t="shared" si="286"/>
        <v>307.90749562650001</v>
      </c>
      <c r="AN364">
        <f t="shared" si="317"/>
        <v>1636.5362339492801</v>
      </c>
      <c r="AO364">
        <f t="shared" si="318"/>
        <v>-53.144090346861965</v>
      </c>
      <c r="AQ364">
        <f t="shared" si="287"/>
        <v>4.4444424691366807E-3</v>
      </c>
      <c r="AR364">
        <f t="shared" si="288"/>
        <v>-6.6666637037050203</v>
      </c>
      <c r="AT364">
        <f t="shared" si="313"/>
        <v>-10554.926617875788</v>
      </c>
      <c r="AU364">
        <f t="shared" si="314"/>
        <v>-119059.56350542519</v>
      </c>
      <c r="AV364">
        <f t="shared" si="302"/>
        <v>-1.6592176568782264</v>
      </c>
      <c r="AW364">
        <f t="shared" si="303"/>
        <v>41407.341458631781</v>
      </c>
      <c r="AX364">
        <f t="shared" si="304"/>
        <v>-15277.865118576701</v>
      </c>
      <c r="AY364">
        <f t="shared" si="312"/>
        <v>-0.35346935662288459</v>
      </c>
      <c r="BA364">
        <f t="shared" si="289"/>
        <v>2.7081446885595599</v>
      </c>
      <c r="BB364">
        <f t="shared" si="305"/>
        <v>8.6534372753313189</v>
      </c>
      <c r="BC364">
        <f t="shared" si="306"/>
        <v>-1.3057483002553418</v>
      </c>
      <c r="BD364">
        <f t="shared" si="290"/>
        <v>-254.81386679649938</v>
      </c>
      <c r="BF364">
        <f t="shared" si="291"/>
        <v>-35.310947654936527</v>
      </c>
      <c r="BG364">
        <f t="shared" si="292"/>
        <v>-165.97087771654432</v>
      </c>
      <c r="BH364">
        <f t="shared" si="307"/>
        <v>14.029122283455678</v>
      </c>
      <c r="BI364">
        <f t="shared" si="308"/>
        <v>14.029122283455678</v>
      </c>
      <c r="BJ364">
        <f t="shared" si="293"/>
        <v>0</v>
      </c>
      <c r="BK364">
        <f t="shared" si="309"/>
        <v>0</v>
      </c>
      <c r="BM364">
        <f t="shared" si="310"/>
        <v>-43.964384930267848</v>
      </c>
      <c r="BN364">
        <f t="shared" si="294"/>
        <v>-91.157010920044954</v>
      </c>
      <c r="BQ364" s="66">
        <f t="shared" si="311"/>
        <v>25.555398075616456</v>
      </c>
      <c r="BR364" s="71"/>
      <c r="BS364" s="71"/>
      <c r="BT364" s="71">
        <v>346736.85</v>
      </c>
      <c r="BU364" s="71">
        <v>15.295400000000001</v>
      </c>
      <c r="BV364" s="71">
        <v>-200.482</v>
      </c>
      <c r="BW364" s="75"/>
      <c r="BY364" s="71"/>
      <c r="BZ364" s="71"/>
      <c r="CA364" s="71"/>
      <c r="CC364" s="71"/>
    </row>
    <row r="365" spans="1:81" x14ac:dyDescent="0.2">
      <c r="A365">
        <f t="shared" si="319"/>
        <v>755000</v>
      </c>
      <c r="B365">
        <f t="shared" si="295"/>
        <v>755</v>
      </c>
      <c r="C365">
        <f t="shared" si="264"/>
        <v>46.974313846100905</v>
      </c>
      <c r="D365">
        <f t="shared" si="265"/>
        <v>1.5495064884772864</v>
      </c>
      <c r="F365">
        <f t="shared" si="266"/>
        <v>8.9318618400316304E-6</v>
      </c>
      <c r="G365">
        <f t="shared" si="267"/>
        <v>1.2298761362190367E-3</v>
      </c>
      <c r="H365">
        <f t="shared" si="268"/>
        <v>-3.1403627738637812</v>
      </c>
      <c r="J365">
        <f t="shared" si="269"/>
        <v>15</v>
      </c>
      <c r="M365">
        <f t="shared" si="270"/>
        <v>4.468210805231544E-3</v>
      </c>
      <c r="N365">
        <f t="shared" si="271"/>
        <v>-1.5707963250000001</v>
      </c>
      <c r="O365">
        <f t="shared" si="272"/>
        <v>223.72007410169104</v>
      </c>
      <c r="P365">
        <f t="shared" si="273"/>
        <v>1.566326440335204</v>
      </c>
      <c r="Q365">
        <f t="shared" si="274"/>
        <v>309.96182537007707</v>
      </c>
      <c r="R365">
        <f t="shared" si="275"/>
        <v>1.567570117459131</v>
      </c>
      <c r="S365">
        <f t="shared" si="276"/>
        <v>3.5466099341379481E-2</v>
      </c>
      <c r="T365">
        <f t="shared" si="277"/>
        <v>-1.5353227881039462</v>
      </c>
      <c r="U365">
        <f t="shared" si="278"/>
        <v>0.99637696941801468</v>
      </c>
      <c r="V365">
        <f t="shared" si="279"/>
        <v>-8.5149520529495301E-2</v>
      </c>
      <c r="X365">
        <f t="shared" si="296"/>
        <v>-23.234447473114198</v>
      </c>
      <c r="Y365">
        <f t="shared" si="280"/>
        <v>-94.436528879900507</v>
      </c>
      <c r="Z365">
        <f t="shared" si="297"/>
        <v>85.563471120099493</v>
      </c>
      <c r="AC365">
        <v>1</v>
      </c>
      <c r="AD365">
        <f t="shared" si="281"/>
        <v>223.71783915474003</v>
      </c>
      <c r="AE365">
        <f t="shared" si="282"/>
        <v>-1.0612737819352444E-3</v>
      </c>
      <c r="AF365">
        <f t="shared" si="283"/>
        <v>1.2433512646831501E-2</v>
      </c>
      <c r="AG365">
        <f t="shared" si="315"/>
        <v>17856.173904983913</v>
      </c>
      <c r="AH365">
        <f t="shared" si="316"/>
        <v>-1604.5577607643918</v>
      </c>
      <c r="AJ365">
        <f t="shared" si="284"/>
        <v>18000</v>
      </c>
      <c r="AK365">
        <f t="shared" si="285"/>
        <v>507207.62006837997</v>
      </c>
      <c r="AL365">
        <v>1</v>
      </c>
      <c r="AM365">
        <f t="shared" si="286"/>
        <v>309.96021226401001</v>
      </c>
      <c r="AN365">
        <f t="shared" si="317"/>
        <v>1636.5339554819964</v>
      </c>
      <c r="AO365">
        <f t="shared" si="318"/>
        <v>-52.792150079508744</v>
      </c>
      <c r="AQ365">
        <f t="shared" si="287"/>
        <v>4.3857706303361121E-3</v>
      </c>
      <c r="AR365">
        <f t="shared" si="288"/>
        <v>-6.6225136518075294</v>
      </c>
      <c r="AT365">
        <f t="shared" si="313"/>
        <v>-10547.892592693252</v>
      </c>
      <c r="AU365">
        <f t="shared" si="314"/>
        <v>-118259.79267710715</v>
      </c>
      <c r="AV365">
        <f t="shared" si="302"/>
        <v>-1.6597534822252715</v>
      </c>
      <c r="AW365">
        <f t="shared" si="303"/>
        <v>41408.101603704024</v>
      </c>
      <c r="AX365">
        <f t="shared" si="304"/>
        <v>-15221.54780889444</v>
      </c>
      <c r="AY365">
        <f t="shared" si="312"/>
        <v>-0.35226577203070453</v>
      </c>
      <c r="BA365">
        <f t="shared" si="289"/>
        <v>2.6912244255812792</v>
      </c>
      <c r="BB365">
        <f t="shared" si="305"/>
        <v>8.5989983159401024</v>
      </c>
      <c r="BC365">
        <f t="shared" si="306"/>
        <v>-1.307487710194567</v>
      </c>
      <c r="BD365">
        <f t="shared" si="290"/>
        <v>-254.91352764497395</v>
      </c>
      <c r="BF365">
        <f t="shared" si="291"/>
        <v>-35.42312766756632</v>
      </c>
      <c r="BG365">
        <f t="shared" si="292"/>
        <v>-166.06287871363304</v>
      </c>
      <c r="BH365">
        <f t="shared" si="307"/>
        <v>13.93712128636696</v>
      </c>
      <c r="BI365">
        <f t="shared" si="308"/>
        <v>13.93712128636696</v>
      </c>
      <c r="BJ365">
        <f t="shared" si="293"/>
        <v>0</v>
      </c>
      <c r="BK365">
        <f t="shared" si="309"/>
        <v>0</v>
      </c>
      <c r="BM365">
        <f t="shared" si="310"/>
        <v>-44.022125983506427</v>
      </c>
      <c r="BN365">
        <f t="shared" si="294"/>
        <v>-91.149351068659101</v>
      </c>
      <c r="BQ365" s="66">
        <f t="shared" si="311"/>
        <v>25.500959116225239</v>
      </c>
      <c r="BR365" s="71"/>
      <c r="BS365" s="71"/>
      <c r="BT365" s="71">
        <v>354813.38900000002</v>
      </c>
      <c r="BU365" s="71">
        <v>15.3028</v>
      </c>
      <c r="BV365" s="71">
        <v>-203.33199999999999</v>
      </c>
      <c r="BW365" s="75"/>
      <c r="BY365" s="71"/>
      <c r="BZ365" s="71"/>
      <c r="CA365" s="71"/>
      <c r="CC365" s="71"/>
    </row>
    <row r="366" spans="1:81" x14ac:dyDescent="0.2">
      <c r="A366">
        <f t="shared" si="319"/>
        <v>760000</v>
      </c>
      <c r="B366">
        <f t="shared" si="295"/>
        <v>760</v>
      </c>
      <c r="C366">
        <f t="shared" si="264"/>
        <v>47.285261499157784</v>
      </c>
      <c r="D366">
        <f t="shared" si="265"/>
        <v>1.5496465112998954</v>
      </c>
      <c r="F366">
        <f t="shared" si="266"/>
        <v>8.8147229820207957E-6</v>
      </c>
      <c r="G366">
        <f t="shared" si="267"/>
        <v>1.2217847095979007E-3</v>
      </c>
      <c r="H366">
        <f t="shared" si="268"/>
        <v>-3.1403708652904023</v>
      </c>
      <c r="J366">
        <f t="shared" si="269"/>
        <v>15</v>
      </c>
      <c r="M366">
        <f t="shared" si="270"/>
        <v>4.4388146815129148E-3</v>
      </c>
      <c r="N366">
        <f t="shared" si="271"/>
        <v>-1.5707963250000001</v>
      </c>
      <c r="O366">
        <f t="shared" si="272"/>
        <v>225.2016344919781</v>
      </c>
      <c r="P366">
        <f t="shared" si="273"/>
        <v>1.5663558470951227</v>
      </c>
      <c r="Q366">
        <f t="shared" si="274"/>
        <v>312.01453139510181</v>
      </c>
      <c r="R366">
        <f t="shared" si="275"/>
        <v>1.5675913423747214</v>
      </c>
      <c r="S366">
        <f t="shared" si="276"/>
        <v>3.523306034637666E-2</v>
      </c>
      <c r="T366">
        <f t="shared" si="277"/>
        <v>-1.5355559728380035</v>
      </c>
      <c r="U366">
        <f t="shared" si="278"/>
        <v>0.99632908814772669</v>
      </c>
      <c r="V366">
        <f t="shared" si="279"/>
        <v>-8.5710675948104914E-2</v>
      </c>
      <c r="X366">
        <f t="shared" si="296"/>
        <v>-23.29215454007678</v>
      </c>
      <c r="Y366">
        <f t="shared" si="280"/>
        <v>-94.471581124694438</v>
      </c>
      <c r="Z366">
        <f t="shared" si="297"/>
        <v>85.528418875305562</v>
      </c>
      <c r="AC366">
        <v>1</v>
      </c>
      <c r="AD366">
        <f t="shared" si="281"/>
        <v>225.19941424848002</v>
      </c>
      <c r="AE366">
        <f t="shared" si="282"/>
        <v>-1.075376933372742E-3</v>
      </c>
      <c r="AF366">
        <f t="shared" si="283"/>
        <v>1.2515853790188E-2</v>
      </c>
      <c r="AG366">
        <f t="shared" si="315"/>
        <v>17854.457775903866</v>
      </c>
      <c r="AH366">
        <f t="shared" si="316"/>
        <v>-1613.9747546364697</v>
      </c>
      <c r="AJ366">
        <f t="shared" si="284"/>
        <v>18000</v>
      </c>
      <c r="AK366">
        <f t="shared" si="285"/>
        <v>510566.61092976003</v>
      </c>
      <c r="AL366">
        <v>1</v>
      </c>
      <c r="AM366">
        <f t="shared" si="286"/>
        <v>312.01292890151996</v>
      </c>
      <c r="AN366">
        <f t="shared" si="317"/>
        <v>1636.5317218357552</v>
      </c>
      <c r="AO366">
        <f t="shared" si="318"/>
        <v>-52.444840461495794</v>
      </c>
      <c r="AQ366">
        <f t="shared" si="287"/>
        <v>4.3282529742672375E-3</v>
      </c>
      <c r="AR366">
        <f t="shared" si="288"/>
        <v>-6.5789445208862007</v>
      </c>
      <c r="AT366">
        <f t="shared" si="313"/>
        <v>-10540.971758891767</v>
      </c>
      <c r="AU366">
        <f t="shared" si="314"/>
        <v>-117470.47284920892</v>
      </c>
      <c r="AV366">
        <f t="shared" si="302"/>
        <v>-1.6602895878008512</v>
      </c>
      <c r="AW366">
        <f t="shared" si="303"/>
        <v>41408.746726424193</v>
      </c>
      <c r="AX366">
        <f t="shared" si="304"/>
        <v>-15166.259508961994</v>
      </c>
      <c r="AY366">
        <f t="shared" si="312"/>
        <v>-0.35108397372492467</v>
      </c>
      <c r="BA366">
        <f t="shared" si="289"/>
        <v>2.6745080402192309</v>
      </c>
      <c r="BB366">
        <f t="shared" si="305"/>
        <v>8.5448781565489025</v>
      </c>
      <c r="BC366">
        <f t="shared" si="306"/>
        <v>-1.3092056140759265</v>
      </c>
      <c r="BD366">
        <f t="shared" si="290"/>
        <v>-255.01195628709749</v>
      </c>
      <c r="BF366">
        <f t="shared" si="291"/>
        <v>-35.534607391818291</v>
      </c>
      <c r="BG366">
        <f t="shared" si="292"/>
        <v>-166.15374824357255</v>
      </c>
      <c r="BH366">
        <f t="shared" si="307"/>
        <v>13.846251756427449</v>
      </c>
      <c r="BI366">
        <f t="shared" si="308"/>
        <v>13.846251756427449</v>
      </c>
      <c r="BJ366">
        <f t="shared" si="293"/>
        <v>0</v>
      </c>
      <c r="BK366">
        <f t="shared" si="309"/>
        <v>0</v>
      </c>
      <c r="BM366">
        <f t="shared" si="310"/>
        <v>-44.079485548367202</v>
      </c>
      <c r="BN366">
        <f t="shared" si="294"/>
        <v>-91.141791956475089</v>
      </c>
      <c r="BQ366" s="66">
        <f t="shared" si="311"/>
        <v>25.446838956834039</v>
      </c>
      <c r="BR366" s="71"/>
      <c r="BS366" s="71"/>
      <c r="BT366" s="71">
        <v>363078.05499999999</v>
      </c>
      <c r="BU366" s="71">
        <v>15.049200000000001</v>
      </c>
      <c r="BV366" s="71">
        <v>-205.19499999999999</v>
      </c>
      <c r="BW366" s="75"/>
      <c r="BY366" s="71"/>
      <c r="BZ366" s="71"/>
      <c r="CA366" s="71"/>
      <c r="CC366" s="71"/>
    </row>
    <row r="367" spans="1:81" x14ac:dyDescent="0.2">
      <c r="A367">
        <f t="shared" si="319"/>
        <v>765000</v>
      </c>
      <c r="B367">
        <f t="shared" si="295"/>
        <v>765</v>
      </c>
      <c r="C367">
        <f t="shared" si="264"/>
        <v>47.596210067194491</v>
      </c>
      <c r="D367">
        <f t="shared" si="265"/>
        <v>1.5497847045721118</v>
      </c>
      <c r="F367">
        <f t="shared" si="266"/>
        <v>8.6998734747047251E-6</v>
      </c>
      <c r="G367">
        <f t="shared" si="267"/>
        <v>1.2137990559048708E-3</v>
      </c>
      <c r="H367">
        <f t="shared" si="268"/>
        <v>-3.1403788509440953</v>
      </c>
      <c r="J367">
        <f t="shared" si="269"/>
        <v>15</v>
      </c>
      <c r="M367">
        <f t="shared" si="270"/>
        <v>4.4098028208494318E-3</v>
      </c>
      <c r="N367">
        <f t="shared" si="271"/>
        <v>-1.5707963250000001</v>
      </c>
      <c r="O367">
        <f t="shared" si="272"/>
        <v>226.68319507446438</v>
      </c>
      <c r="P367">
        <f t="shared" si="273"/>
        <v>1.5663848694604812</v>
      </c>
      <c r="Q367">
        <f t="shared" si="274"/>
        <v>314.06723755885082</v>
      </c>
      <c r="R367">
        <f t="shared" si="275"/>
        <v>1.5676122898432661</v>
      </c>
      <c r="S367">
        <f t="shared" si="276"/>
        <v>3.5003061977289855E-2</v>
      </c>
      <c r="T367">
        <f t="shared" si="277"/>
        <v>-1.5357861131649078</v>
      </c>
      <c r="U367">
        <f t="shared" si="278"/>
        <v>0.99628089780012941</v>
      </c>
      <c r="V367">
        <f t="shared" si="279"/>
        <v>-8.6271777259568083E-2</v>
      </c>
      <c r="X367">
        <f t="shared" si="296"/>
        <v>-23.349489208660504</v>
      </c>
      <c r="Y367">
        <f t="shared" si="280"/>
        <v>-94.50659252360046</v>
      </c>
      <c r="Z367">
        <f t="shared" si="297"/>
        <v>85.49340747639954</v>
      </c>
      <c r="AC367">
        <v>1</v>
      </c>
      <c r="AD367">
        <f t="shared" si="281"/>
        <v>226.68098934222004</v>
      </c>
      <c r="AE367">
        <f t="shared" si="282"/>
        <v>-1.0895731749187378E-3</v>
      </c>
      <c r="AF367">
        <f t="shared" si="283"/>
        <v>1.25981949335445E-2</v>
      </c>
      <c r="AG367">
        <f t="shared" si="315"/>
        <v>17852.730652349121</v>
      </c>
      <c r="AH367">
        <f t="shared" si="316"/>
        <v>-1623.3957742146936</v>
      </c>
      <c r="AJ367">
        <f t="shared" si="284"/>
        <v>18000</v>
      </c>
      <c r="AK367">
        <f t="shared" si="285"/>
        <v>513925.60179113998</v>
      </c>
      <c r="AL367">
        <v>1</v>
      </c>
      <c r="AM367">
        <f t="shared" si="286"/>
        <v>314.06564553903002</v>
      </c>
      <c r="AN367">
        <f t="shared" si="317"/>
        <v>1636.5295318426215</v>
      </c>
      <c r="AO367">
        <f t="shared" si="318"/>
        <v>-52.102070699495954</v>
      </c>
      <c r="AQ367">
        <f t="shared" si="287"/>
        <v>4.2718594250675274E-3</v>
      </c>
      <c r="AR367">
        <f t="shared" si="288"/>
        <v>-6.5359449203533169</v>
      </c>
      <c r="AT367">
        <f t="shared" si="313"/>
        <v>-10534.161008501136</v>
      </c>
      <c r="AU367">
        <f t="shared" si="314"/>
        <v>-116691.39914019589</v>
      </c>
      <c r="AV367">
        <f t="shared" si="302"/>
        <v>-1.6608259667107073</v>
      </c>
      <c r="AW367">
        <f t="shared" si="303"/>
        <v>41409.279194468429</v>
      </c>
      <c r="AX367">
        <f t="shared" si="304"/>
        <v>-15111.979865720443</v>
      </c>
      <c r="AY367">
        <f t="shared" si="312"/>
        <v>-0.34992356001877339</v>
      </c>
      <c r="BA367">
        <f t="shared" si="289"/>
        <v>2.6579919878997491</v>
      </c>
      <c r="BB367">
        <f t="shared" si="305"/>
        <v>8.4910733499207822</v>
      </c>
      <c r="BC367">
        <f t="shared" si="306"/>
        <v>-1.3109024066919339</v>
      </c>
      <c r="BD367">
        <f t="shared" si="290"/>
        <v>-255.10917534281475</v>
      </c>
      <c r="BF367">
        <f t="shared" si="291"/>
        <v>-35.645395285050945</v>
      </c>
      <c r="BG367">
        <f t="shared" si="292"/>
        <v>-166.24350695227946</v>
      </c>
      <c r="BH367">
        <f t="shared" si="307"/>
        <v>13.756493047720539</v>
      </c>
      <c r="BI367">
        <f t="shared" si="308"/>
        <v>13.756493047720539</v>
      </c>
      <c r="BJ367">
        <f t="shared" si="293"/>
        <v>0</v>
      </c>
      <c r="BK367">
        <f t="shared" si="309"/>
        <v>0</v>
      </c>
      <c r="BM367">
        <f t="shared" si="310"/>
        <v>-44.136468634971735</v>
      </c>
      <c r="BN367">
        <f t="shared" si="294"/>
        <v>-91.134331609464709</v>
      </c>
      <c r="BQ367" s="66">
        <f t="shared" si="311"/>
        <v>25.393034150205921</v>
      </c>
      <c r="BR367" s="71"/>
      <c r="BS367" s="71"/>
      <c r="BT367" s="71">
        <v>371535.22899999999</v>
      </c>
      <c r="BU367" s="71">
        <v>14.9002</v>
      </c>
      <c r="BV367" s="71">
        <v>-207.41</v>
      </c>
      <c r="BW367" s="75"/>
      <c r="BY367" s="71"/>
      <c r="BZ367" s="71"/>
      <c r="CA367" s="71"/>
      <c r="CC367" s="71"/>
    </row>
    <row r="368" spans="1:81" x14ac:dyDescent="0.2">
      <c r="A368">
        <f t="shared" si="319"/>
        <v>770000</v>
      </c>
      <c r="B368">
        <f t="shared" si="295"/>
        <v>770</v>
      </c>
      <c r="C368">
        <f t="shared" si="264"/>
        <v>47.907159532394616</v>
      </c>
      <c r="D368">
        <f t="shared" si="265"/>
        <v>1.5499211039136178</v>
      </c>
      <c r="F368">
        <f t="shared" si="266"/>
        <v>8.5872540471274096E-6</v>
      </c>
      <c r="G368">
        <f t="shared" si="267"/>
        <v>1.2059171145603139E-3</v>
      </c>
      <c r="H368">
        <f t="shared" si="268"/>
        <v>-3.1403867328854398</v>
      </c>
      <c r="J368">
        <f t="shared" si="269"/>
        <v>15</v>
      </c>
      <c r="M368">
        <f t="shared" si="270"/>
        <v>4.3811677375971631E-3</v>
      </c>
      <c r="N368">
        <f t="shared" si="271"/>
        <v>-1.5707963250000001</v>
      </c>
      <c r="O368">
        <f t="shared" si="272"/>
        <v>228.16475584540575</v>
      </c>
      <c r="P368">
        <f t="shared" si="273"/>
        <v>1.5664135149192913</v>
      </c>
      <c r="Q368">
        <f t="shared" si="274"/>
        <v>316.1199438586217</v>
      </c>
      <c r="R368">
        <f t="shared" si="275"/>
        <v>1.5676329652695051</v>
      </c>
      <c r="S368">
        <f t="shared" si="276"/>
        <v>3.4776045145877905E-2</v>
      </c>
      <c r="T368">
        <f t="shared" si="277"/>
        <v>-1.5360132682947152</v>
      </c>
      <c r="U368">
        <f t="shared" si="278"/>
        <v>0.9962323985110938</v>
      </c>
      <c r="V368">
        <f t="shared" si="279"/>
        <v>-8.6832824118453014E-2</v>
      </c>
      <c r="X368">
        <f t="shared" si="296"/>
        <v>-23.406456354789945</v>
      </c>
      <c r="Y368">
        <f t="shared" si="280"/>
        <v>-94.541563787817893</v>
      </c>
      <c r="Z368">
        <f t="shared" si="297"/>
        <v>85.458436212182107</v>
      </c>
      <c r="AC368">
        <v>1</v>
      </c>
      <c r="AD368">
        <f t="shared" si="281"/>
        <v>228.16256443596004</v>
      </c>
      <c r="AE368">
        <f t="shared" si="282"/>
        <v>-1.1038625065732314E-3</v>
      </c>
      <c r="AF368">
        <f t="shared" si="283"/>
        <v>1.2680536076901002E-2</v>
      </c>
      <c r="AG368">
        <f t="shared" si="315"/>
        <v>17850.992540796266</v>
      </c>
      <c r="AH368">
        <f t="shared" si="316"/>
        <v>-1632.8206666766985</v>
      </c>
      <c r="AJ368">
        <f t="shared" si="284"/>
        <v>18000</v>
      </c>
      <c r="AK368">
        <f t="shared" si="285"/>
        <v>517284.59265251999</v>
      </c>
      <c r="AL368">
        <v>1</v>
      </c>
      <c r="AM368">
        <f t="shared" si="286"/>
        <v>316.11836217654002</v>
      </c>
      <c r="AN368">
        <f t="shared" si="317"/>
        <v>1636.5273843724581</v>
      </c>
      <c r="AO368">
        <f t="shared" si="318"/>
        <v>-51.763752358330798</v>
      </c>
      <c r="AQ368">
        <f t="shared" si="287"/>
        <v>4.2165608801817845E-3</v>
      </c>
      <c r="AR368">
        <f t="shared" si="288"/>
        <v>-6.4935037554799475</v>
      </c>
      <c r="AT368">
        <f t="shared" si="313"/>
        <v>-10527.457334270473</v>
      </c>
      <c r="AU368">
        <f t="shared" si="314"/>
        <v>-115922.37199045255</v>
      </c>
      <c r="AV368">
        <f t="shared" si="302"/>
        <v>-1.6613626122308718</v>
      </c>
      <c r="AW368">
        <f t="shared" si="303"/>
        <v>41409.701299449051</v>
      </c>
      <c r="AX368">
        <f t="shared" si="304"/>
        <v>-15058.68905404135</v>
      </c>
      <c r="AY368">
        <f t="shared" si="312"/>
        <v>-0.3487841388407083</v>
      </c>
      <c r="BA368">
        <f t="shared" si="289"/>
        <v>2.641672802716124</v>
      </c>
      <c r="BB368">
        <f t="shared" si="305"/>
        <v>8.4375804989179279</v>
      </c>
      <c r="BC368">
        <f t="shared" si="306"/>
        <v>-1.3125784733901635</v>
      </c>
      <c r="BD368">
        <f t="shared" si="290"/>
        <v>-255.20520689091546</v>
      </c>
      <c r="BF368">
        <f t="shared" si="291"/>
        <v>-35.755499656425556</v>
      </c>
      <c r="BG368">
        <f t="shared" si="292"/>
        <v>-166.33217499574852</v>
      </c>
      <c r="BH368">
        <f t="shared" si="307"/>
        <v>13.667825004251483</v>
      </c>
      <c r="BI368">
        <f t="shared" si="308"/>
        <v>13.667825004251483</v>
      </c>
      <c r="BJ368">
        <f t="shared" si="293"/>
        <v>0</v>
      </c>
      <c r="BK368">
        <f t="shared" si="309"/>
        <v>0</v>
      </c>
      <c r="BM368">
        <f t="shared" si="310"/>
        <v>-44.19308015534348</v>
      </c>
      <c r="BN368">
        <f t="shared" si="294"/>
        <v>-91.12696810483304</v>
      </c>
      <c r="BQ368" s="66">
        <f t="shared" si="311"/>
        <v>25.339541299203066</v>
      </c>
      <c r="BR368" s="71"/>
      <c r="BS368" s="71"/>
      <c r="BT368" s="71">
        <v>380189.39600000001</v>
      </c>
      <c r="BU368" s="71">
        <v>14.938000000000001</v>
      </c>
      <c r="BV368" s="71">
        <v>-210.39400000000001</v>
      </c>
      <c r="BW368" s="75"/>
      <c r="BY368" s="71"/>
      <c r="BZ368" s="71"/>
      <c r="CA368" s="71"/>
      <c r="CC368" s="71"/>
    </row>
    <row r="369" spans="1:81" x14ac:dyDescent="0.2">
      <c r="A369">
        <f t="shared" si="319"/>
        <v>775000</v>
      </c>
      <c r="B369">
        <f t="shared" si="295"/>
        <v>775</v>
      </c>
      <c r="C369">
        <f t="shared" si="264"/>
        <v>48.218109877401233</v>
      </c>
      <c r="D369">
        <f t="shared" si="265"/>
        <v>1.5500557440255454</v>
      </c>
      <c r="F369">
        <f t="shared" si="266"/>
        <v>8.4768073341414473E-6</v>
      </c>
      <c r="G369">
        <f t="shared" si="267"/>
        <v>1.1981368781630196E-3</v>
      </c>
      <c r="H369">
        <f t="shared" si="268"/>
        <v>-3.1403945131218372</v>
      </c>
      <c r="J369">
        <f t="shared" si="269"/>
        <v>15</v>
      </c>
      <c r="M369">
        <f t="shared" si="270"/>
        <v>4.3529021392900843E-3</v>
      </c>
      <c r="N369">
        <f t="shared" si="271"/>
        <v>-1.5707963250000001</v>
      </c>
      <c r="O369">
        <f t="shared" si="272"/>
        <v>229.64631680115477</v>
      </c>
      <c r="P369">
        <f t="shared" si="273"/>
        <v>1.5664417907663326</v>
      </c>
      <c r="Q369">
        <f t="shared" si="274"/>
        <v>318.17265029178174</v>
      </c>
      <c r="R369">
        <f t="shared" si="275"/>
        <v>1.5676533739187031</v>
      </c>
      <c r="S369">
        <f t="shared" si="276"/>
        <v>3.4551952284142262E-2</v>
      </c>
      <c r="T369">
        <f t="shared" si="277"/>
        <v>-1.5362374959125609</v>
      </c>
      <c r="U369">
        <f t="shared" si="278"/>
        <v>0.99618359041732696</v>
      </c>
      <c r="V369">
        <f t="shared" si="279"/>
        <v>-8.7393816179532097E-2</v>
      </c>
      <c r="X369">
        <f t="shared" si="296"/>
        <v>-23.46306075996608</v>
      </c>
      <c r="Y369">
        <f t="shared" si="280"/>
        <v>-94.576495609831142</v>
      </c>
      <c r="Z369">
        <f t="shared" si="297"/>
        <v>85.423504390168858</v>
      </c>
      <c r="AC369">
        <v>1</v>
      </c>
      <c r="AD369">
        <f t="shared" si="281"/>
        <v>229.6441395297</v>
      </c>
      <c r="AE369">
        <f t="shared" si="282"/>
        <v>-1.1182449283362239E-3</v>
      </c>
      <c r="AF369">
        <f t="shared" si="283"/>
        <v>1.27628772202575E-2</v>
      </c>
      <c r="AG369">
        <f t="shared" si="315"/>
        <v>17849.243447761215</v>
      </c>
      <c r="AH369">
        <f t="shared" si="316"/>
        <v>-1642.2492826954162</v>
      </c>
      <c r="AJ369">
        <f t="shared" si="284"/>
        <v>18000</v>
      </c>
      <c r="AK369">
        <f t="shared" si="285"/>
        <v>520643.58351389994</v>
      </c>
      <c r="AL369">
        <v>1</v>
      </c>
      <c r="AM369">
        <f t="shared" si="286"/>
        <v>318.17107881404996</v>
      </c>
      <c r="AN369">
        <f t="shared" si="317"/>
        <v>1636.5252783314625</v>
      </c>
      <c r="AO369">
        <f t="shared" si="318"/>
        <v>-51.429799284905812</v>
      </c>
      <c r="AQ369">
        <f t="shared" si="287"/>
        <v>4.1623291728078368E-3</v>
      </c>
      <c r="AR369">
        <f t="shared" si="288"/>
        <v>-6.4516102178521466</v>
      </c>
      <c r="AT369">
        <f t="shared" si="313"/>
        <v>-10520.857825782941</v>
      </c>
      <c r="AU369">
        <f t="shared" si="314"/>
        <v>-115163.19699060512</v>
      </c>
      <c r="AV369">
        <f t="shared" si="302"/>
        <v>-1.6618995178021825</v>
      </c>
      <c r="AW369">
        <f t="shared" si="303"/>
        <v>41410.015259852618</v>
      </c>
      <c r="AX369">
        <f t="shared" si="304"/>
        <v>-15006.367759686935</v>
      </c>
      <c r="AY369">
        <f t="shared" si="312"/>
        <v>-0.34766532745298329</v>
      </c>
      <c r="BA369">
        <f t="shared" si="289"/>
        <v>2.6255470953566662</v>
      </c>
      <c r="BB369">
        <f t="shared" si="305"/>
        <v>8.3843962556996328</v>
      </c>
      <c r="BC369">
        <f t="shared" si="306"/>
        <v>-1.3142341903491992</v>
      </c>
      <c r="BD369">
        <f t="shared" si="290"/>
        <v>-255.30007248484486</v>
      </c>
      <c r="BF369">
        <f t="shared" si="291"/>
        <v>-35.864928670253768</v>
      </c>
      <c r="BG369">
        <f t="shared" si="292"/>
        <v>-166.41977205421216</v>
      </c>
      <c r="BH369">
        <f t="shared" si="307"/>
        <v>13.58022794578784</v>
      </c>
      <c r="BI369">
        <f t="shared" si="308"/>
        <v>13.58022794578784</v>
      </c>
      <c r="BJ369">
        <f t="shared" si="293"/>
        <v>0</v>
      </c>
      <c r="BK369">
        <f t="shared" si="309"/>
        <v>0</v>
      </c>
      <c r="BM369">
        <f t="shared" si="310"/>
        <v>-44.249324925953402</v>
      </c>
      <c r="BN369">
        <f t="shared" si="294"/>
        <v>-91.119699569367313</v>
      </c>
      <c r="BQ369" s="66">
        <f t="shared" si="311"/>
        <v>25.286357055984769</v>
      </c>
      <c r="BR369" s="71"/>
      <c r="BS369" s="71"/>
      <c r="BT369" s="71">
        <v>389045.14500000002</v>
      </c>
      <c r="BU369" s="71">
        <v>14.7561</v>
      </c>
      <c r="BV369" s="71">
        <v>-213.04300000000001</v>
      </c>
      <c r="BW369" s="75"/>
      <c r="BY369" s="71"/>
      <c r="BZ369" s="71"/>
      <c r="CA369" s="71"/>
      <c r="CC369" s="71"/>
    </row>
    <row r="370" spans="1:81" x14ac:dyDescent="0.2">
      <c r="A370">
        <f t="shared" si="319"/>
        <v>780000</v>
      </c>
      <c r="B370">
        <f t="shared" si="295"/>
        <v>780</v>
      </c>
      <c r="C370">
        <f t="shared" si="264"/>
        <v>48.529061085302239</v>
      </c>
      <c r="D370">
        <f t="shared" si="265"/>
        <v>1.5501886587198919</v>
      </c>
      <c r="F370">
        <f t="shared" si="266"/>
        <v>8.3684778033423407E-6</v>
      </c>
      <c r="G370">
        <f t="shared" si="267"/>
        <v>1.1904563907856808E-3</v>
      </c>
      <c r="H370">
        <f t="shared" si="268"/>
        <v>-3.1404021936092144</v>
      </c>
      <c r="J370">
        <f t="shared" si="269"/>
        <v>15</v>
      </c>
      <c r="M370">
        <f t="shared" si="270"/>
        <v>4.3249989204484814E-3</v>
      </c>
      <c r="N370">
        <f t="shared" si="271"/>
        <v>-1.5707963250000001</v>
      </c>
      <c r="O370">
        <f t="shared" si="272"/>
        <v>231.12787793815752</v>
      </c>
      <c r="P370">
        <f t="shared" si="273"/>
        <v>1.5664697041093443</v>
      </c>
      <c r="Q370">
        <f t="shared" si="274"/>
        <v>320.22535685576582</v>
      </c>
      <c r="R370">
        <f t="shared" si="275"/>
        <v>1.5676735209211203</v>
      </c>
      <c r="S370">
        <f t="shared" si="276"/>
        <v>3.4330727295776638E-2</v>
      </c>
      <c r="T370">
        <f t="shared" si="277"/>
        <v>-1.5364588522274181</v>
      </c>
      <c r="U370">
        <f t="shared" si="278"/>
        <v>0.99613447365637053</v>
      </c>
      <c r="V370">
        <f t="shared" si="279"/>
        <v>-8.7954753097783139E-2</v>
      </c>
      <c r="X370">
        <f t="shared" si="296"/>
        <v>-23.51930711368631</v>
      </c>
      <c r="Y370">
        <f t="shared" si="280"/>
        <v>-94.611388664004721</v>
      </c>
      <c r="Z370">
        <f t="shared" si="297"/>
        <v>85.388611335995279</v>
      </c>
      <c r="AC370">
        <v>1</v>
      </c>
      <c r="AD370">
        <f t="shared" si="281"/>
        <v>231.12571462344005</v>
      </c>
      <c r="AE370">
        <f t="shared" si="282"/>
        <v>-1.1327204402077147E-3</v>
      </c>
      <c r="AF370">
        <f t="shared" si="283"/>
        <v>1.2845218363614002E-2</v>
      </c>
      <c r="AG370">
        <f t="shared" si="315"/>
        <v>17847.483379799105</v>
      </c>
      <c r="AH370">
        <f t="shared" si="316"/>
        <v>-1651.68147632772</v>
      </c>
      <c r="AJ370">
        <f t="shared" si="284"/>
        <v>18000</v>
      </c>
      <c r="AK370">
        <f t="shared" si="285"/>
        <v>524002.57437528</v>
      </c>
      <c r="AL370">
        <v>1</v>
      </c>
      <c r="AM370">
        <f t="shared" si="286"/>
        <v>320.22379545156002</v>
      </c>
      <c r="AN370">
        <f t="shared" si="317"/>
        <v>1636.5232126607787</v>
      </c>
      <c r="AO370">
        <f t="shared" si="318"/>
        <v>-51.100127535071046</v>
      </c>
      <c r="AQ370">
        <f t="shared" si="287"/>
        <v>4.1091370360219282E-3</v>
      </c>
      <c r="AR370">
        <f t="shared" si="288"/>
        <v>-6.4102537761942076</v>
      </c>
      <c r="AT370">
        <f t="shared" si="313"/>
        <v>-10514.359665744072</v>
      </c>
      <c r="AU370">
        <f t="shared" si="314"/>
        <v>-114413.68471644666</v>
      </c>
      <c r="AV370">
        <f t="shared" si="302"/>
        <v>-1.6624366770250083</v>
      </c>
      <c r="AW370">
        <f t="shared" si="303"/>
        <v>41410.223223846624</v>
      </c>
      <c r="AX370">
        <f t="shared" si="304"/>
        <v>-14954.997162926182</v>
      </c>
      <c r="AY370">
        <f t="shared" si="312"/>
        <v>-0.34656675217987043</v>
      </c>
      <c r="BA370">
        <f t="shared" si="289"/>
        <v>2.6096115510939715</v>
      </c>
      <c r="BB370">
        <f t="shared" si="305"/>
        <v>8.3315173209294464</v>
      </c>
      <c r="BC370">
        <f t="shared" si="306"/>
        <v>-1.315869924845138</v>
      </c>
      <c r="BD370">
        <f t="shared" si="290"/>
        <v>-255.3937931679732</v>
      </c>
      <c r="BF370">
        <f t="shared" si="291"/>
        <v>-35.9736903492539</v>
      </c>
      <c r="BG370">
        <f t="shared" si="292"/>
        <v>-166.50631734582228</v>
      </c>
      <c r="BH370">
        <f t="shared" si="307"/>
        <v>13.493682654177718</v>
      </c>
      <c r="BI370">
        <f t="shared" si="308"/>
        <v>13.493682654177718</v>
      </c>
      <c r="BJ370">
        <f t="shared" si="293"/>
        <v>0</v>
      </c>
      <c r="BK370">
        <f t="shared" si="309"/>
        <v>0</v>
      </c>
      <c r="BM370">
        <f t="shared" si="310"/>
        <v>-44.30520767018335</v>
      </c>
      <c r="BN370">
        <f t="shared" si="294"/>
        <v>-91.11252417784911</v>
      </c>
      <c r="BQ370" s="66">
        <f t="shared" si="311"/>
        <v>25.233478121214581</v>
      </c>
      <c r="BR370" s="71"/>
      <c r="BS370" s="71"/>
      <c r="BT370" s="71">
        <v>398107.17099999997</v>
      </c>
      <c r="BU370" s="71">
        <v>14.525499999999999</v>
      </c>
      <c r="BV370" s="71">
        <v>-214.58500000000001</v>
      </c>
      <c r="BW370" s="75"/>
      <c r="BY370" s="71"/>
      <c r="BZ370" s="71"/>
      <c r="CA370" s="71"/>
      <c r="CC370" s="71"/>
    </row>
    <row r="371" spans="1:81" x14ac:dyDescent="0.2">
      <c r="A371">
        <f t="shared" si="319"/>
        <v>785000</v>
      </c>
      <c r="B371">
        <f t="shared" si="295"/>
        <v>785</v>
      </c>
      <c r="C371">
        <f t="shared" si="264"/>
        <v>48.840013139616183</v>
      </c>
      <c r="D371">
        <f t="shared" si="265"/>
        <v>1.5503198809478123</v>
      </c>
      <c r="F371">
        <f t="shared" si="266"/>
        <v>8.2622116852501324E-6</v>
      </c>
      <c r="G371">
        <f t="shared" si="267"/>
        <v>1.1828737463355191E-3</v>
      </c>
      <c r="H371">
        <f t="shared" si="268"/>
        <v>-3.1404097762536649</v>
      </c>
      <c r="J371">
        <f t="shared" si="269"/>
        <v>15</v>
      </c>
      <c r="M371">
        <f t="shared" si="270"/>
        <v>4.2974511566239689E-3</v>
      </c>
      <c r="N371">
        <f t="shared" si="271"/>
        <v>-1.5707963250000001</v>
      </c>
      <c r="O371">
        <f t="shared" si="272"/>
        <v>232.60943925295064</v>
      </c>
      <c r="P371">
        <f t="shared" si="273"/>
        <v>1.5664972618749828</v>
      </c>
      <c r="Q371">
        <f t="shared" si="274"/>
        <v>322.2780635480741</v>
      </c>
      <c r="R371">
        <f t="shared" si="275"/>
        <v>1.5676934112763123</v>
      </c>
      <c r="S371">
        <f t="shared" si="276"/>
        <v>3.4112315509464475E-2</v>
      </c>
      <c r="T371">
        <f t="shared" si="277"/>
        <v>-1.5366773920189982</v>
      </c>
      <c r="U371">
        <f t="shared" si="278"/>
        <v>0.99608504836659895</v>
      </c>
      <c r="V371">
        <f t="shared" si="279"/>
        <v>-8.8515634528390563E-2</v>
      </c>
      <c r="X371">
        <f t="shared" si="296"/>
        <v>-23.575200015787566</v>
      </c>
      <c r="Y371">
        <f t="shared" si="280"/>
        <v>-94.646243607155853</v>
      </c>
      <c r="Z371">
        <f t="shared" si="297"/>
        <v>85.353756392844147</v>
      </c>
      <c r="AC371">
        <v>1</v>
      </c>
      <c r="AD371">
        <f t="shared" si="281"/>
        <v>232.60728971718004</v>
      </c>
      <c r="AE371">
        <f t="shared" si="282"/>
        <v>-1.1472890421877038E-3</v>
      </c>
      <c r="AF371">
        <f t="shared" si="283"/>
        <v>1.29275595069705E-2</v>
      </c>
      <c r="AG371">
        <f t="shared" si="315"/>
        <v>17845.712343504256</v>
      </c>
      <c r="AH371">
        <f t="shared" si="316"/>
        <v>-1661.1171049073464</v>
      </c>
      <c r="AJ371">
        <f t="shared" si="284"/>
        <v>18000</v>
      </c>
      <c r="AK371">
        <f t="shared" si="285"/>
        <v>527361.56523666007</v>
      </c>
      <c r="AL371">
        <v>1</v>
      </c>
      <c r="AM371">
        <f t="shared" si="286"/>
        <v>322.27651208907002</v>
      </c>
      <c r="AN371">
        <f t="shared" si="317"/>
        <v>1636.5211863351628</v>
      </c>
      <c r="AO371">
        <f t="shared" si="318"/>
        <v>-50.774655303276759</v>
      </c>
      <c r="AQ371">
        <f t="shared" si="287"/>
        <v>4.056958068498491E-3</v>
      </c>
      <c r="AR371">
        <f t="shared" si="288"/>
        <v>-6.3694241675426317</v>
      </c>
      <c r="AT371">
        <f t="shared" si="313"/>
        <v>-10507.960126435219</v>
      </c>
      <c r="AU371">
        <f t="shared" si="314"/>
        <v>-113673.65057017133</v>
      </c>
      <c r="AV371">
        <f t="shared" si="302"/>
        <v>-1.6629740836541766</v>
      </c>
      <c r="AW371">
        <f t="shared" si="303"/>
        <v>41410.327271961272</v>
      </c>
      <c r="AX371">
        <f t="shared" si="304"/>
        <v>-14904.558922777556</v>
      </c>
      <c r="AY371">
        <f t="shared" si="312"/>
        <v>-0.3454880481451626</v>
      </c>
      <c r="BA371">
        <f t="shared" si="289"/>
        <v>2.5938629278335128</v>
      </c>
      <c r="BB371">
        <f t="shared" si="305"/>
        <v>8.2789404429919315</v>
      </c>
      <c r="BC371">
        <f t="shared" si="306"/>
        <v>-1.3174860355090141</v>
      </c>
      <c r="BD371">
        <f t="shared" si="290"/>
        <v>-255.4863894883452</v>
      </c>
      <c r="BF371">
        <f t="shared" si="291"/>
        <v>-36.081792577718701</v>
      </c>
      <c r="BG371">
        <f t="shared" si="292"/>
        <v>-166.5918296398726</v>
      </c>
      <c r="BH371">
        <f t="shared" si="307"/>
        <v>13.4081703601274</v>
      </c>
      <c r="BI371">
        <f t="shared" si="308"/>
        <v>13.4081703601274</v>
      </c>
      <c r="BJ371">
        <f t="shared" si="293"/>
        <v>0</v>
      </c>
      <c r="BK371">
        <f t="shared" si="309"/>
        <v>0</v>
      </c>
      <c r="BM371">
        <f t="shared" si="310"/>
        <v>-44.36073302071064</v>
      </c>
      <c r="BN371">
        <f t="shared" si="294"/>
        <v>-91.105440151527432</v>
      </c>
      <c r="BQ371" s="66">
        <f t="shared" si="311"/>
        <v>25.180901243277066</v>
      </c>
      <c r="BR371" s="71"/>
      <c r="BS371" s="71"/>
      <c r="BT371" s="71">
        <v>407380.27799999999</v>
      </c>
      <c r="BU371" s="71">
        <v>14.4298</v>
      </c>
      <c r="BV371" s="71">
        <v>-217.34299999999999</v>
      </c>
      <c r="BW371" s="75"/>
      <c r="BY371" s="71"/>
      <c r="BZ371" s="71"/>
      <c r="CA371" s="71"/>
      <c r="CC371" s="71"/>
    </row>
    <row r="372" spans="1:81" x14ac:dyDescent="0.2">
      <c r="A372">
        <f t="shared" si="319"/>
        <v>790000</v>
      </c>
      <c r="B372">
        <f t="shared" si="295"/>
        <v>790</v>
      </c>
      <c r="C372">
        <f t="shared" si="264"/>
        <v>49.150966024278667</v>
      </c>
      <c r="D372">
        <f t="shared" si="265"/>
        <v>1.5504494428268383</v>
      </c>
      <c r="F372">
        <f t="shared" si="266"/>
        <v>8.1579569065744847E-6</v>
      </c>
      <c r="G372">
        <f t="shared" si="267"/>
        <v>1.1753870869771654E-3</v>
      </c>
      <c r="H372">
        <f t="shared" si="268"/>
        <v>-3.1404172629130231</v>
      </c>
      <c r="J372">
        <f t="shared" si="269"/>
        <v>15</v>
      </c>
      <c r="M372">
        <f t="shared" si="270"/>
        <v>4.2702520986706519E-3</v>
      </c>
      <c r="N372">
        <f t="shared" si="271"/>
        <v>-1.5707963250000001</v>
      </c>
      <c r="O372">
        <f t="shared" si="272"/>
        <v>234.09100074215837</v>
      </c>
      <c r="P372">
        <f t="shared" si="273"/>
        <v>1.5665244708145514</v>
      </c>
      <c r="Q372">
        <f t="shared" si="274"/>
        <v>324.33077036627014</v>
      </c>
      <c r="R372">
        <f t="shared" si="275"/>
        <v>1.5677130498572653</v>
      </c>
      <c r="S372">
        <f t="shared" si="276"/>
        <v>3.3896663633942531E-2</v>
      </c>
      <c r="T372">
        <f t="shared" si="277"/>
        <v>-1.5368931686828748</v>
      </c>
      <c r="U372">
        <f t="shared" si="278"/>
        <v>0.99603531468721995</v>
      </c>
      <c r="V372">
        <f t="shared" si="279"/>
        <v>-8.9076460126746637E-2</v>
      </c>
      <c r="X372">
        <f t="shared" si="296"/>
        <v>-23.63074397871528</v>
      </c>
      <c r="Y372">
        <f t="shared" si="280"/>
        <v>-94.681061079105262</v>
      </c>
      <c r="Z372">
        <f t="shared" si="297"/>
        <v>85.318938920894738</v>
      </c>
      <c r="AC372">
        <v>1</v>
      </c>
      <c r="AD372">
        <f t="shared" si="281"/>
        <v>234.08886481092</v>
      </c>
      <c r="AE372">
        <f t="shared" si="282"/>
        <v>-1.1619507342761914E-3</v>
      </c>
      <c r="AF372">
        <f t="shared" si="283"/>
        <v>1.3009900650327E-2</v>
      </c>
      <c r="AG372">
        <f t="shared" si="315"/>
        <v>17843.930345510093</v>
      </c>
      <c r="AH372">
        <f t="shared" si="316"/>
        <v>-1670.5560289418811</v>
      </c>
      <c r="AJ372">
        <f t="shared" si="284"/>
        <v>18000</v>
      </c>
      <c r="AK372">
        <f t="shared" si="285"/>
        <v>530720.55609803996</v>
      </c>
      <c r="AL372">
        <v>1</v>
      </c>
      <c r="AM372">
        <f t="shared" si="286"/>
        <v>324.32922872657997</v>
      </c>
      <c r="AN372">
        <f t="shared" si="317"/>
        <v>1636.5191983617119</v>
      </c>
      <c r="AO372">
        <f t="shared" si="318"/>
        <v>-50.453302854900052</v>
      </c>
      <c r="AQ372">
        <f t="shared" si="287"/>
        <v>4.0057667017438306E-3</v>
      </c>
      <c r="AR372">
        <f t="shared" si="288"/>
        <v>-6.3291113887552521</v>
      </c>
      <c r="AT372">
        <f t="shared" si="313"/>
        <v>-10501.656566323527</v>
      </c>
      <c r="AU372">
        <f t="shared" si="314"/>
        <v>-112942.9146276375</v>
      </c>
      <c r="AV372">
        <f t="shared" si="302"/>
        <v>-1.6635117315940933</v>
      </c>
      <c r="AW372">
        <f t="shared" si="303"/>
        <v>41410.329419653077</v>
      </c>
      <c r="AX372">
        <f t="shared" si="304"/>
        <v>-14855.035161850534</v>
      </c>
      <c r="AY372">
        <f t="shared" si="312"/>
        <v>-0.34442885901859094</v>
      </c>
      <c r="BA372">
        <f t="shared" si="289"/>
        <v>2.5782980542196614</v>
      </c>
      <c r="BB372">
        <f t="shared" si="305"/>
        <v>8.2266624172190674</v>
      </c>
      <c r="BC372">
        <f t="shared" si="306"/>
        <v>-1.3190828725755024</v>
      </c>
      <c r="BD372">
        <f t="shared" si="290"/>
        <v>-255.57788151292957</v>
      </c>
      <c r="BF372">
        <f t="shared" si="291"/>
        <v>-36.189243104597644</v>
      </c>
      <c r="BG372">
        <f t="shared" si="292"/>
        <v>-166.67632726957891</v>
      </c>
      <c r="BH372">
        <f t="shared" si="307"/>
        <v>13.323672730421094</v>
      </c>
      <c r="BI372">
        <f t="shared" si="308"/>
        <v>13.323672730421094</v>
      </c>
      <c r="BJ372">
        <f t="shared" si="293"/>
        <v>0</v>
      </c>
      <c r="BK372">
        <f t="shared" si="309"/>
        <v>0</v>
      </c>
      <c r="BM372">
        <f t="shared" si="310"/>
        <v>-44.415905521816711</v>
      </c>
      <c r="BN372">
        <f t="shared" si="294"/>
        <v>-91.09844575664934</v>
      </c>
      <c r="BQ372" s="66">
        <f t="shared" si="311"/>
        <v>25.128623217504202</v>
      </c>
      <c r="BR372" s="71"/>
      <c r="BS372" s="71"/>
      <c r="BT372" s="71">
        <v>416869.38299999997</v>
      </c>
      <c r="BU372" s="71">
        <v>14.126799999999999</v>
      </c>
      <c r="BV372" s="71">
        <v>-219.017</v>
      </c>
      <c r="BW372" s="75"/>
      <c r="BY372" s="71"/>
      <c r="BZ372" s="71"/>
      <c r="CA372" s="71"/>
      <c r="CC372" s="71"/>
    </row>
    <row r="373" spans="1:81" x14ac:dyDescent="0.2">
      <c r="A373">
        <f t="shared" si="319"/>
        <v>795000</v>
      </c>
      <c r="B373">
        <f t="shared" si="295"/>
        <v>795</v>
      </c>
      <c r="C373">
        <f t="shared" si="264"/>
        <v>49.46191972362918</v>
      </c>
      <c r="D373">
        <f t="shared" si="265"/>
        <v>1.5505773756670702</v>
      </c>
      <c r="F373">
        <f t="shared" si="266"/>
        <v>8.0556630264085377E-6</v>
      </c>
      <c r="G373">
        <f t="shared" si="267"/>
        <v>1.1679946016150649E-3</v>
      </c>
      <c r="H373">
        <f t="shared" si="268"/>
        <v>-3.1404246553983852</v>
      </c>
      <c r="J373">
        <f t="shared" si="269"/>
        <v>15</v>
      </c>
      <c r="M373">
        <f t="shared" si="270"/>
        <v>4.2433951672324723E-3</v>
      </c>
      <c r="N373">
        <f t="shared" si="271"/>
        <v>-1.5707963250000001</v>
      </c>
      <c r="O373">
        <f t="shared" si="272"/>
        <v>235.57256240248998</v>
      </c>
      <c r="P373">
        <f t="shared" si="273"/>
        <v>1.5665513375095141</v>
      </c>
      <c r="Q373">
        <f t="shared" si="274"/>
        <v>326.38347730797869</v>
      </c>
      <c r="R373">
        <f t="shared" si="275"/>
        <v>1.5677324414143763</v>
      </c>
      <c r="S373">
        <f t="shared" si="276"/>
        <v>3.3683719714753368E-2</v>
      </c>
      <c r="T373">
        <f t="shared" si="277"/>
        <v>-1.5371062342739099</v>
      </c>
      <c r="U373">
        <f t="shared" si="278"/>
        <v>0.99598527275827164</v>
      </c>
      <c r="V373">
        <f t="shared" si="279"/>
        <v>-8.963722954845274E-2</v>
      </c>
      <c r="X373">
        <f t="shared" si="296"/>
        <v>-23.685943429721121</v>
      </c>
      <c r="Y373">
        <f t="shared" si="280"/>
        <v>-94.715841703207985</v>
      </c>
      <c r="Z373">
        <f t="shared" si="297"/>
        <v>85.284158296792015</v>
      </c>
      <c r="AC373">
        <v>1</v>
      </c>
      <c r="AD373">
        <f t="shared" si="281"/>
        <v>235.57043990466005</v>
      </c>
      <c r="AE373">
        <f t="shared" si="282"/>
        <v>-1.1767055164731771E-3</v>
      </c>
      <c r="AF373">
        <f t="shared" si="283"/>
        <v>1.30922417936835E-2</v>
      </c>
      <c r="AG373">
        <f t="shared" si="315"/>
        <v>17842.137392489112</v>
      </c>
      <c r="AH373">
        <f t="shared" si="316"/>
        <v>-1679.9981120136347</v>
      </c>
      <c r="AJ373">
        <f t="shared" si="284"/>
        <v>18000</v>
      </c>
      <c r="AK373">
        <f t="shared" si="285"/>
        <v>534079.54695941997</v>
      </c>
      <c r="AL373">
        <v>1</v>
      </c>
      <c r="AM373">
        <f t="shared" si="286"/>
        <v>326.38194536408997</v>
      </c>
      <c r="AN373">
        <f t="shared" si="317"/>
        <v>1636.5172477786464</v>
      </c>
      <c r="AO373">
        <f t="shared" si="318"/>
        <v>-50.135992461125085</v>
      </c>
      <c r="AQ373">
        <f t="shared" si="287"/>
        <v>3.9555381687677825E-3</v>
      </c>
      <c r="AR373">
        <f t="shared" si="288"/>
        <v>-6.2893056883407743</v>
      </c>
      <c r="AT373">
        <f t="shared" si="313"/>
        <v>-10495.446426820725</v>
      </c>
      <c r="AU373">
        <f t="shared" si="314"/>
        <v>-112221.30149139493</v>
      </c>
      <c r="AV373">
        <f t="shared" si="302"/>
        <v>-1.6640496148940469</v>
      </c>
      <c r="AW373">
        <f t="shared" si="303"/>
        <v>41410.231619755745</v>
      </c>
      <c r="AX373">
        <f t="shared" si="304"/>
        <v>-14806.40845175962</v>
      </c>
      <c r="AY373">
        <f t="shared" si="312"/>
        <v>-0.34338883677081777</v>
      </c>
      <c r="BA373">
        <f t="shared" si="289"/>
        <v>2.56291382779738</v>
      </c>
      <c r="BB373">
        <f t="shared" si="305"/>
        <v>8.174680085126667</v>
      </c>
      <c r="BC373">
        <f t="shared" si="306"/>
        <v>-1.3206607781232291</v>
      </c>
      <c r="BD373">
        <f t="shared" si="290"/>
        <v>-255.66828884138789</v>
      </c>
      <c r="BF373">
        <f t="shared" si="291"/>
        <v>-36.296049546496107</v>
      </c>
      <c r="BG373">
        <f t="shared" si="292"/>
        <v>-166.75982814443429</v>
      </c>
      <c r="BH373">
        <f t="shared" si="307"/>
        <v>13.240171855565706</v>
      </c>
      <c r="BI373">
        <f t="shared" si="308"/>
        <v>13.240171855565706</v>
      </c>
      <c r="BJ373">
        <f t="shared" si="293"/>
        <v>0</v>
      </c>
      <c r="BK373">
        <f t="shared" si="309"/>
        <v>0</v>
      </c>
      <c r="BM373">
        <f t="shared" si="310"/>
        <v>-44.470729631622774</v>
      </c>
      <c r="BN373">
        <f t="shared" si="294"/>
        <v>-91.091539303046389</v>
      </c>
      <c r="BQ373" s="66">
        <f t="shared" si="311"/>
        <v>25.076640885411802</v>
      </c>
      <c r="BR373" s="71"/>
      <c r="BS373" s="71"/>
      <c r="BT373" s="71">
        <v>426579.51899999997</v>
      </c>
      <c r="BU373" s="71">
        <v>14.106299999999999</v>
      </c>
      <c r="BV373" s="71">
        <v>-221.39400000000001</v>
      </c>
      <c r="BW373" s="75"/>
      <c r="BY373" s="71"/>
      <c r="BZ373" s="71"/>
      <c r="CA373" s="71"/>
      <c r="CC373" s="71"/>
    </row>
    <row r="374" spans="1:81" x14ac:dyDescent="0.2">
      <c r="A374">
        <f t="shared" si="319"/>
        <v>800000</v>
      </c>
      <c r="B374">
        <f t="shared" si="295"/>
        <v>800</v>
      </c>
      <c r="C374">
        <f t="shared" si="264"/>
        <v>49.772874222398556</v>
      </c>
      <c r="D374">
        <f t="shared" si="265"/>
        <v>1.5507037099963903</v>
      </c>
      <c r="F374">
        <f t="shared" si="266"/>
        <v>7.9552811752055799E-6</v>
      </c>
      <c r="G374">
        <f t="shared" si="267"/>
        <v>1.1606945244327861E-3</v>
      </c>
      <c r="H374">
        <f t="shared" si="268"/>
        <v>-3.1404319554755675</v>
      </c>
      <c r="J374">
        <f t="shared" si="269"/>
        <v>15</v>
      </c>
      <c r="M374">
        <f t="shared" si="270"/>
        <v>4.2168739474372687E-3</v>
      </c>
      <c r="N374">
        <f t="shared" si="271"/>
        <v>-1.5707963250000001</v>
      </c>
      <c r="O374">
        <f t="shared" si="272"/>
        <v>237.05412423073696</v>
      </c>
      <c r="P374">
        <f t="shared" si="273"/>
        <v>1.5665778683768039</v>
      </c>
      <c r="Q374">
        <f t="shared" si="274"/>
        <v>328.43618437088389</v>
      </c>
      <c r="R374">
        <f t="shared" si="275"/>
        <v>1.5677515905792847</v>
      </c>
      <c r="S374">
        <f t="shared" si="276"/>
        <v>3.3473433092613088E-2</v>
      </c>
      <c r="T374">
        <f t="shared" si="277"/>
        <v>-1.5373166395480551</v>
      </c>
      <c r="U374">
        <f t="shared" si="278"/>
        <v>0.99593492272062267</v>
      </c>
      <c r="V374">
        <f t="shared" si="279"/>
        <v>-9.0197942449320556E-2</v>
      </c>
      <c r="X374">
        <f t="shared" si="296"/>
        <v>-23.740802712992117</v>
      </c>
      <c r="Y374">
        <f t="shared" si="280"/>
        <v>-94.750586086863791</v>
      </c>
      <c r="Z374">
        <f t="shared" si="297"/>
        <v>85.249413913136209</v>
      </c>
      <c r="AC374">
        <v>1</v>
      </c>
      <c r="AD374">
        <f t="shared" si="281"/>
        <v>237.05201499840001</v>
      </c>
      <c r="AE374">
        <f t="shared" si="282"/>
        <v>-1.1915533887786613E-3</v>
      </c>
      <c r="AF374">
        <f t="shared" si="283"/>
        <v>1.317458293704E-2</v>
      </c>
      <c r="AG374">
        <f t="shared" si="315"/>
        <v>17840.333491152767</v>
      </c>
      <c r="AH374">
        <f t="shared" si="316"/>
        <v>-1689.4432206842428</v>
      </c>
      <c r="AJ374">
        <f t="shared" si="284"/>
        <v>18000</v>
      </c>
      <c r="AK374">
        <f t="shared" si="285"/>
        <v>537438.53782079997</v>
      </c>
      <c r="AL374">
        <v>1</v>
      </c>
      <c r="AM374">
        <f t="shared" si="286"/>
        <v>328.43466200160003</v>
      </c>
      <c r="AN374">
        <f t="shared" si="317"/>
        <v>1636.5153336541493</v>
      </c>
      <c r="AO374">
        <f t="shared" si="318"/>
        <v>-49.822648336265225</v>
      </c>
      <c r="AQ374">
        <f t="shared" si="287"/>
        <v>3.90624847412169E-3</v>
      </c>
      <c r="AR374">
        <f t="shared" si="288"/>
        <v>-6.2499975585947034</v>
      </c>
      <c r="AT374">
        <f t="shared" si="313"/>
        <v>-10489.327229183253</v>
      </c>
      <c r="AU374">
        <f t="shared" si="314"/>
        <v>-111508.64014922304</v>
      </c>
      <c r="AV374">
        <f t="shared" si="302"/>
        <v>-1.6645877277436898</v>
      </c>
      <c r="AW374">
        <f t="shared" si="303"/>
        <v>41410.035764824184</v>
      </c>
      <c r="AX374">
        <f t="shared" si="304"/>
        <v>-14758.661799085732</v>
      </c>
      <c r="AY374">
        <f t="shared" si="312"/>
        <v>-0.34236764143667098</v>
      </c>
      <c r="BA374">
        <f t="shared" si="289"/>
        <v>2.5477072132278145</v>
      </c>
      <c r="BB374">
        <f t="shared" si="305"/>
        <v>8.1229903336608693</v>
      </c>
      <c r="BC374">
        <f t="shared" si="306"/>
        <v>-1.3222200863070188</v>
      </c>
      <c r="BD374">
        <f t="shared" si="290"/>
        <v>-255.75763061938136</v>
      </c>
      <c r="BF374">
        <f t="shared" si="291"/>
        <v>-36.402219390594269</v>
      </c>
      <c r="BG374">
        <f t="shared" si="292"/>
        <v>-166.84234976215495</v>
      </c>
      <c r="BH374">
        <f t="shared" si="307"/>
        <v>13.157650237845047</v>
      </c>
      <c r="BI374">
        <f t="shared" si="308"/>
        <v>13.157650237845047</v>
      </c>
      <c r="BJ374">
        <f t="shared" si="293"/>
        <v>0</v>
      </c>
      <c r="BK374">
        <f t="shared" si="309"/>
        <v>0</v>
      </c>
      <c r="BM374">
        <f t="shared" si="310"/>
        <v>-44.525209724255141</v>
      </c>
      <c r="BN374">
        <f t="shared" si="294"/>
        <v>-91.084719142773622</v>
      </c>
      <c r="BQ374" s="66">
        <f t="shared" si="311"/>
        <v>25.024951133946011</v>
      </c>
      <c r="BR374" s="71"/>
      <c r="BS374" s="71"/>
      <c r="BT374" s="71">
        <v>436515.83199999999</v>
      </c>
      <c r="BU374" s="71">
        <v>13.8226</v>
      </c>
      <c r="BV374" s="71">
        <v>-223.214</v>
      </c>
      <c r="BW374" s="75"/>
      <c r="BY374" s="71"/>
      <c r="BZ374" s="71"/>
      <c r="CA374" s="71"/>
      <c r="CC374" s="71"/>
    </row>
    <row r="375" spans="1:81" x14ac:dyDescent="0.2">
      <c r="A375">
        <f t="shared" si="319"/>
        <v>805000</v>
      </c>
      <c r="B375">
        <f t="shared" si="295"/>
        <v>805</v>
      </c>
      <c r="C375">
        <f t="shared" si="264"/>
        <v>50.083829505696798</v>
      </c>
      <c r="D375">
        <f t="shared" si="265"/>
        <v>1.5508284755847332</v>
      </c>
      <c r="F375">
        <f t="shared" si="266"/>
        <v>7.8567639964006764E-6</v>
      </c>
      <c r="G375">
        <f t="shared" si="267"/>
        <v>1.1534851334867766E-3</v>
      </c>
      <c r="H375">
        <f t="shared" si="268"/>
        <v>-3.1404391648665135</v>
      </c>
      <c r="J375">
        <f t="shared" si="269"/>
        <v>15</v>
      </c>
      <c r="M375">
        <f t="shared" si="270"/>
        <v>4.1906821837885905E-3</v>
      </c>
      <c r="N375">
        <f t="shared" si="271"/>
        <v>-1.5707963250000001</v>
      </c>
      <c r="O375">
        <f t="shared" si="272"/>
        <v>238.53568622377048</v>
      </c>
      <c r="P375">
        <f t="shared" si="273"/>
        <v>1.5666040696739312</v>
      </c>
      <c r="Q375">
        <f t="shared" si="274"/>
        <v>330.48889155272752</v>
      </c>
      <c r="R375">
        <f t="shared" si="275"/>
        <v>1.5677705018685597</v>
      </c>
      <c r="S375">
        <f t="shared" si="276"/>
        <v>3.3265754363324428E-2</v>
      </c>
      <c r="T375">
        <f t="shared" si="277"/>
        <v>-1.5375244340026006</v>
      </c>
      <c r="U375">
        <f t="shared" si="278"/>
        <v>0.99588426471597102</v>
      </c>
      <c r="V375">
        <f t="shared" si="279"/>
        <v>-9.0758598485373307E-2</v>
      </c>
      <c r="X375">
        <f t="shared" si="296"/>
        <v>-23.795326091713669</v>
      </c>
      <c r="Y375">
        <f t="shared" si="280"/>
        <v>-94.785294822009277</v>
      </c>
      <c r="Z375">
        <f t="shared" si="297"/>
        <v>85.214705177990723</v>
      </c>
      <c r="AC375">
        <v>1</v>
      </c>
      <c r="AD375">
        <f t="shared" si="281"/>
        <v>238.53359009214</v>
      </c>
      <c r="AE375">
        <f t="shared" si="282"/>
        <v>-1.2064943511926438E-3</v>
      </c>
      <c r="AF375">
        <f t="shared" si="283"/>
        <v>1.3256924080396502E-2</v>
      </c>
      <c r="AG375">
        <f t="shared" si="315"/>
        <v>17838.518648251491</v>
      </c>
      <c r="AH375">
        <f t="shared" si="316"/>
        <v>-1698.8912244028213</v>
      </c>
      <c r="AJ375">
        <f t="shared" si="284"/>
        <v>18000</v>
      </c>
      <c r="AK375">
        <f t="shared" si="285"/>
        <v>540797.52868217998</v>
      </c>
      <c r="AL375">
        <v>1</v>
      </c>
      <c r="AM375">
        <f t="shared" si="286"/>
        <v>330.48737863910998</v>
      </c>
      <c r="AN375">
        <f t="shared" si="317"/>
        <v>1636.5134550852508</v>
      </c>
      <c r="AO375">
        <f t="shared" si="318"/>
        <v>-49.5131965774208</v>
      </c>
      <c r="AQ375">
        <f t="shared" si="287"/>
        <v>3.8578743652349966E-3</v>
      </c>
      <c r="AR375">
        <f t="shared" si="288"/>
        <v>-6.2111777280283444</v>
      </c>
      <c r="AT375">
        <f t="shared" si="313"/>
        <v>-10483.296571546753</v>
      </c>
      <c r="AU375">
        <f t="shared" si="314"/>
        <v>-110804.76383794189</v>
      </c>
      <c r="AV375">
        <f t="shared" si="302"/>
        <v>-1.6651260644686861</v>
      </c>
      <c r="AW375">
        <f t="shared" si="303"/>
        <v>41409.743689377159</v>
      </c>
      <c r="AX375">
        <f t="shared" si="304"/>
        <v>-14711.778631861123</v>
      </c>
      <c r="AY375">
        <f t="shared" si="312"/>
        <v>-0.3413649408863027</v>
      </c>
      <c r="BA375">
        <f t="shared" si="289"/>
        <v>2.5326752405561099</v>
      </c>
      <c r="BB375">
        <f t="shared" si="305"/>
        <v>8.0715900944548871</v>
      </c>
      <c r="BC375">
        <f t="shared" si="306"/>
        <v>-1.3237611235823834</v>
      </c>
      <c r="BD375">
        <f t="shared" si="290"/>
        <v>-255.84592555143297</v>
      </c>
      <c r="BF375">
        <f t="shared" si="291"/>
        <v>-36.507759997488094</v>
      </c>
      <c r="BG375">
        <f t="shared" si="292"/>
        <v>-166.92390922023242</v>
      </c>
      <c r="BH375">
        <f t="shared" si="307"/>
        <v>13.076090779767583</v>
      </c>
      <c r="BI375">
        <f t="shared" si="308"/>
        <v>13.076090779767583</v>
      </c>
      <c r="BJ375">
        <f t="shared" si="293"/>
        <v>0</v>
      </c>
      <c r="BK375">
        <f t="shared" si="309"/>
        <v>0</v>
      </c>
      <c r="BM375">
        <f t="shared" si="310"/>
        <v>-44.579350091942985</v>
      </c>
      <c r="BN375">
        <f t="shared" si="294"/>
        <v>-91.077983668799462</v>
      </c>
      <c r="BQ375" s="66">
        <f t="shared" si="311"/>
        <v>24.973550894740026</v>
      </c>
      <c r="BR375" s="71"/>
      <c r="BS375" s="71"/>
      <c r="BT375" s="71">
        <v>446683.592</v>
      </c>
      <c r="BU375" s="71">
        <v>13.599500000000001</v>
      </c>
      <c r="BV375" s="71">
        <v>-225.053</v>
      </c>
      <c r="BW375" s="75"/>
      <c r="BY375" s="71"/>
      <c r="BZ375" s="71"/>
      <c r="CA375" s="71"/>
      <c r="CC375" s="71"/>
    </row>
    <row r="376" spans="1:81" x14ac:dyDescent="0.2">
      <c r="A376">
        <f t="shared" si="319"/>
        <v>810000</v>
      </c>
      <c r="B376">
        <f t="shared" si="295"/>
        <v>810</v>
      </c>
      <c r="C376">
        <f t="shared" si="264"/>
        <v>50.394785559001349</v>
      </c>
      <c r="D376">
        <f t="shared" si="265"/>
        <v>1.550951701467463</v>
      </c>
      <c r="F376">
        <f t="shared" si="266"/>
        <v>7.7600655905470219E-6</v>
      </c>
      <c r="G376">
        <f t="shared" si="267"/>
        <v>1.146364749352197E-3</v>
      </c>
      <c r="H376">
        <f t="shared" si="268"/>
        <v>-3.1404462852506478</v>
      </c>
      <c r="J376">
        <f t="shared" si="269"/>
        <v>15</v>
      </c>
      <c r="M376">
        <f t="shared" si="270"/>
        <v>4.1648137752466853E-3</v>
      </c>
      <c r="N376">
        <f t="shared" si="271"/>
        <v>-1.5707963250000001</v>
      </c>
      <c r="O376">
        <f t="shared" si="272"/>
        <v>240.01724837853897</v>
      </c>
      <c r="P376">
        <f t="shared" si="273"/>
        <v>1.5666299475039045</v>
      </c>
      <c r="Q376">
        <f t="shared" si="274"/>
        <v>332.5415988513069</v>
      </c>
      <c r="R376">
        <f t="shared" si="275"/>
        <v>1.5677891796872521</v>
      </c>
      <c r="S376">
        <f t="shared" si="276"/>
        <v>3.3060635339168767E-2</v>
      </c>
      <c r="T376">
        <f t="shared" si="277"/>
        <v>-1.5377296659149358</v>
      </c>
      <c r="U376">
        <f t="shared" si="278"/>
        <v>0.99583329888684236</v>
      </c>
      <c r="V376">
        <f t="shared" si="279"/>
        <v>-9.1319197312846961E-2</v>
      </c>
      <c r="X376">
        <f t="shared" si="296"/>
        <v>-23.849517750069062</v>
      </c>
      <c r="Y376">
        <f t="shared" si="280"/>
        <v>-94.819968485591517</v>
      </c>
      <c r="Z376">
        <f t="shared" si="297"/>
        <v>85.180031514408483</v>
      </c>
      <c r="AC376">
        <v>1</v>
      </c>
      <c r="AD376">
        <f t="shared" si="281"/>
        <v>240.01516518588005</v>
      </c>
      <c r="AE376">
        <f t="shared" si="282"/>
        <v>-1.2215284037151244E-3</v>
      </c>
      <c r="AF376">
        <f t="shared" si="283"/>
        <v>1.3339265223753E-2</v>
      </c>
      <c r="AG376">
        <f t="shared" si="315"/>
        <v>17836.692870574549</v>
      </c>
      <c r="AH376">
        <f t="shared" si="316"/>
        <v>-1708.3419954175304</v>
      </c>
      <c r="AJ376">
        <f t="shared" si="284"/>
        <v>18000</v>
      </c>
      <c r="AK376">
        <f t="shared" si="285"/>
        <v>544156.51954355987</v>
      </c>
      <c r="AL376">
        <v>1</v>
      </c>
      <c r="AM376">
        <f t="shared" si="286"/>
        <v>332.54009527661998</v>
      </c>
      <c r="AN376">
        <f t="shared" si="317"/>
        <v>1636.5116111967623</v>
      </c>
      <c r="AO376">
        <f t="shared" si="318"/>
        <v>-49.207565106371433</v>
      </c>
      <c r="AQ376">
        <f t="shared" si="287"/>
        <v>3.8103933049865473E-3</v>
      </c>
      <c r="AR376">
        <f t="shared" si="288"/>
        <v>-6.1728371540782065</v>
      </c>
      <c r="AT376">
        <f t="shared" si="313"/>
        <v>-10477.352126088294</v>
      </c>
      <c r="AU376">
        <f t="shared" si="314"/>
        <v>-110109.50991226641</v>
      </c>
      <c r="AV376">
        <f t="shared" si="302"/>
        <v>-1.6656646195265215</v>
      </c>
      <c r="AW376">
        <f t="shared" si="303"/>
        <v>41409.35717204291</v>
      </c>
      <c r="AX376">
        <f t="shared" si="304"/>
        <v>-14665.742786555245</v>
      </c>
      <c r="AY376">
        <f t="shared" si="312"/>
        <v>-0.34038041060397584</v>
      </c>
      <c r="BA376">
        <f t="shared" si="289"/>
        <v>2.5178150035298104</v>
      </c>
      <c r="BB376">
        <f t="shared" si="305"/>
        <v>8.0204763430961137</v>
      </c>
      <c r="BC376">
        <f t="shared" si="306"/>
        <v>-1.3252842089225456</v>
      </c>
      <c r="BD376">
        <f t="shared" si="290"/>
        <v>-255.93319191336224</v>
      </c>
      <c r="BF376">
        <f t="shared" si="291"/>
        <v>-36.612678603954876</v>
      </c>
      <c r="BG376">
        <f t="shared" si="292"/>
        <v>-167.00452322710629</v>
      </c>
      <c r="BH376">
        <f t="shared" si="307"/>
        <v>12.99547677289371</v>
      </c>
      <c r="BI376">
        <f t="shared" si="308"/>
        <v>12.99547677289371</v>
      </c>
      <c r="BJ376">
        <f t="shared" si="293"/>
        <v>0</v>
      </c>
      <c r="BK376">
        <f t="shared" si="309"/>
        <v>0</v>
      </c>
      <c r="BM376">
        <f t="shared" si="310"/>
        <v>-44.63315494705099</v>
      </c>
      <c r="BN376">
        <f t="shared" si="294"/>
        <v>-91.071331313744082</v>
      </c>
      <c r="BQ376" s="66">
        <f t="shared" si="311"/>
        <v>24.922437143381249</v>
      </c>
      <c r="BR376" s="71"/>
      <c r="BS376" s="71"/>
      <c r="BT376" s="71">
        <v>457088.19</v>
      </c>
      <c r="BU376" s="71">
        <v>13.3674</v>
      </c>
      <c r="BV376" s="71">
        <v>-226.50200000000001</v>
      </c>
      <c r="BW376" s="75"/>
      <c r="BY376" s="71"/>
      <c r="BZ376" s="71"/>
      <c r="CA376" s="71"/>
      <c r="CC376" s="71"/>
    </row>
    <row r="377" spans="1:81" x14ac:dyDescent="0.2">
      <c r="A377">
        <f t="shared" si="319"/>
        <v>815000</v>
      </c>
      <c r="B377">
        <f t="shared" si="295"/>
        <v>815</v>
      </c>
      <c r="C377">
        <f t="shared" si="264"/>
        <v>50.705742368145884</v>
      </c>
      <c r="D377">
        <f t="shared" si="265"/>
        <v>1.5510734159678865</v>
      </c>
      <c r="F377">
        <f t="shared" si="266"/>
        <v>7.6651414618440328E-6</v>
      </c>
      <c r="G377">
        <f t="shared" si="267"/>
        <v>1.1393317338186106E-3</v>
      </c>
      <c r="H377">
        <f t="shared" si="268"/>
        <v>-3.1404533182661818</v>
      </c>
      <c r="J377">
        <f t="shared" si="269"/>
        <v>15</v>
      </c>
      <c r="M377">
        <f t="shared" si="270"/>
        <v>4.139262770490571E-3</v>
      </c>
      <c r="N377">
        <f t="shared" si="271"/>
        <v>-1.5707963250000001</v>
      </c>
      <c r="O377">
        <f t="shared" si="272"/>
        <v>241.49881069206586</v>
      </c>
      <c r="P377">
        <f t="shared" si="273"/>
        <v>1.5666555078199695</v>
      </c>
      <c r="Q377">
        <f t="shared" si="274"/>
        <v>334.59430626447369</v>
      </c>
      <c r="R377">
        <f t="shared" si="275"/>
        <v>1.5678076283323148</v>
      </c>
      <c r="S377">
        <f t="shared" si="276"/>
        <v>3.2858029011713807E-2</v>
      </c>
      <c r="T377">
        <f t="shared" si="277"/>
        <v>-1.5379323823798874</v>
      </c>
      <c r="U377">
        <f t="shared" si="278"/>
        <v>0.99578202537658955</v>
      </c>
      <c r="V377">
        <f t="shared" si="279"/>
        <v>-9.1879738588191526E-2</v>
      </c>
      <c r="X377">
        <f t="shared" si="296"/>
        <v>-23.903381795177534</v>
      </c>
      <c r="Y377">
        <f t="shared" si="280"/>
        <v>-94.854607640024938</v>
      </c>
      <c r="Z377">
        <f t="shared" si="297"/>
        <v>85.145392359975062</v>
      </c>
      <c r="AC377">
        <v>1</v>
      </c>
      <c r="AD377">
        <f t="shared" si="281"/>
        <v>241.49674027962001</v>
      </c>
      <c r="AE377">
        <f t="shared" si="282"/>
        <v>-1.2366555463461035E-3</v>
      </c>
      <c r="AF377">
        <f t="shared" si="283"/>
        <v>1.3421606367109502E-2</v>
      </c>
      <c r="AG377">
        <f t="shared" si="315"/>
        <v>17834.856164950008</v>
      </c>
      <c r="AH377">
        <f t="shared" si="316"/>
        <v>-1717.7954086903912</v>
      </c>
      <c r="AJ377">
        <f t="shared" si="284"/>
        <v>18000</v>
      </c>
      <c r="AK377">
        <f t="shared" si="285"/>
        <v>547515.51040494</v>
      </c>
      <c r="AL377">
        <v>1</v>
      </c>
      <c r="AM377">
        <f t="shared" si="286"/>
        <v>334.59281191413004</v>
      </c>
      <c r="AN377">
        <f t="shared" si="317"/>
        <v>1636.5098011402606</v>
      </c>
      <c r="AO377">
        <f t="shared" si="318"/>
        <v>-48.905683613607536</v>
      </c>
      <c r="AQ377">
        <f t="shared" si="287"/>
        <v>3.7637834454501691E-3</v>
      </c>
      <c r="AR377">
        <f t="shared" si="288"/>
        <v>-6.1349670160837757</v>
      </c>
      <c r="AT377">
        <f t="shared" si="313"/>
        <v>-10471.491636310077</v>
      </c>
      <c r="AU377">
        <f t="shared" si="314"/>
        <v>-109422.71971848859</v>
      </c>
      <c r="AV377">
        <f t="shared" si="302"/>
        <v>-1.6662033875024687</v>
      </c>
      <c r="AW377">
        <f t="shared" si="303"/>
        <v>41408.877937613273</v>
      </c>
      <c r="AX377">
        <f t="shared" si="304"/>
        <v>-14620.53849554003</v>
      </c>
      <c r="AY377">
        <f t="shared" si="312"/>
        <v>-0.33941373347418174</v>
      </c>
      <c r="BA377">
        <f t="shared" si="289"/>
        <v>2.5031236579662455</v>
      </c>
      <c r="BB377">
        <f t="shared" si="305"/>
        <v>7.9696460984036541</v>
      </c>
      <c r="BC377">
        <f t="shared" si="306"/>
        <v>-1.3267896540282869</v>
      </c>
      <c r="BD377">
        <f t="shared" si="290"/>
        <v>-256.01944756430839</v>
      </c>
      <c r="BF377">
        <f t="shared" si="291"/>
        <v>-36.716982325645603</v>
      </c>
      <c r="BG377">
        <f t="shared" si="292"/>
        <v>-167.08420811297248</v>
      </c>
      <c r="BH377">
        <f t="shared" si="307"/>
        <v>12.915791887027524</v>
      </c>
      <c r="BI377">
        <f t="shared" si="308"/>
        <v>12.915791887027524</v>
      </c>
      <c r="BJ377">
        <f t="shared" si="293"/>
        <v>0</v>
      </c>
      <c r="BK377">
        <f t="shared" si="309"/>
        <v>0</v>
      </c>
      <c r="BM377">
        <f t="shared" si="310"/>
        <v>-44.686628424049253</v>
      </c>
      <c r="BN377">
        <f t="shared" si="294"/>
        <v>-91.064760548664097</v>
      </c>
      <c r="BQ377" s="66">
        <f t="shared" si="311"/>
        <v>24.871606898688793</v>
      </c>
      <c r="BR377" s="71"/>
      <c r="BS377" s="71"/>
      <c r="BT377" s="71">
        <v>467735.141</v>
      </c>
      <c r="BU377" s="71">
        <v>13.1959</v>
      </c>
      <c r="BV377" s="71">
        <v>131.81700000000001</v>
      </c>
      <c r="BY377" s="71"/>
      <c r="BZ377" s="71"/>
      <c r="CA377" s="71"/>
      <c r="CC377" s="71"/>
    </row>
    <row r="378" spans="1:81" x14ac:dyDescent="0.2">
      <c r="A378">
        <f t="shared" si="319"/>
        <v>820000</v>
      </c>
      <c r="B378">
        <f t="shared" si="295"/>
        <v>820</v>
      </c>
      <c r="C378">
        <f t="shared" si="264"/>
        <v>51.016699919309424</v>
      </c>
      <c r="D378">
        <f t="shared" si="265"/>
        <v>1.5511936467189467</v>
      </c>
      <c r="F378">
        <f t="shared" si="266"/>
        <v>7.5719484669407831E-6</v>
      </c>
      <c r="G378">
        <f t="shared" si="267"/>
        <v>1.1323844886333915E-3</v>
      </c>
      <c r="H378">
        <f t="shared" si="268"/>
        <v>-3.1404602655113667</v>
      </c>
      <c r="J378">
        <f t="shared" si="269"/>
        <v>15</v>
      </c>
      <c r="M378">
        <f t="shared" si="270"/>
        <v>4.1140233633534338E-3</v>
      </c>
      <c r="N378">
        <f t="shared" si="271"/>
        <v>-1.5707963250000001</v>
      </c>
      <c r="O378">
        <f t="shared" si="272"/>
        <v>242.98037316144695</v>
      </c>
      <c r="P378">
        <f t="shared" si="273"/>
        <v>1.5666807564301755</v>
      </c>
      <c r="Q378">
        <f t="shared" si="274"/>
        <v>336.64701379013167</v>
      </c>
      <c r="R378">
        <f t="shared" si="275"/>
        <v>1.5678258519958983</v>
      </c>
      <c r="S378">
        <f t="shared" si="276"/>
        <v>3.2657889515976771E-2</v>
      </c>
      <c r="T378">
        <f t="shared" si="277"/>
        <v>-1.5381326293456956</v>
      </c>
      <c r="U378">
        <f t="shared" si="278"/>
        <v>0.99573044432939117</v>
      </c>
      <c r="V378">
        <f t="shared" si="279"/>
        <v>-9.2440221968072153E-2</v>
      </c>
      <c r="X378">
        <f t="shared" si="296"/>
        <v>-23.956922258973464</v>
      </c>
      <c r="Y378">
        <f t="shared" si="280"/>
        <v>-94.889212833630907</v>
      </c>
      <c r="Z378">
        <f t="shared" si="297"/>
        <v>85.110787166369093</v>
      </c>
      <c r="AC378">
        <v>1</v>
      </c>
      <c r="AD378">
        <f t="shared" si="281"/>
        <v>242.97831537336</v>
      </c>
      <c r="AE378">
        <f t="shared" si="282"/>
        <v>-1.2518757790855812E-3</v>
      </c>
      <c r="AF378">
        <f t="shared" si="283"/>
        <v>1.3503947510466E-2</v>
      </c>
      <c r="AG378">
        <f t="shared" si="315"/>
        <v>17833.0085382447</v>
      </c>
      <c r="AH378">
        <f t="shared" si="316"/>
        <v>-1727.2513418152353</v>
      </c>
      <c r="AJ378">
        <f t="shared" si="284"/>
        <v>18000</v>
      </c>
      <c r="AK378">
        <f t="shared" si="285"/>
        <v>550874.50126632</v>
      </c>
      <c r="AL378">
        <v>1</v>
      </c>
      <c r="AM378">
        <f t="shared" si="286"/>
        <v>336.64552855163998</v>
      </c>
      <c r="AN378">
        <f t="shared" si="317"/>
        <v>1636.5080240931081</v>
      </c>
      <c r="AO378">
        <f t="shared" si="318"/>
        <v>-48.607483504409004</v>
      </c>
      <c r="AQ378">
        <f t="shared" si="287"/>
        <v>3.7180236027574351E-3</v>
      </c>
      <c r="AR378">
        <f t="shared" si="288"/>
        <v>-6.0975587085221932</v>
      </c>
      <c r="AT378">
        <f t="shared" si="313"/>
        <v>-10465.712914438762</v>
      </c>
      <c r="AU378">
        <f t="shared" si="314"/>
        <v>-108744.23847278136</v>
      </c>
      <c r="AV378">
        <f t="shared" si="302"/>
        <v>-1.6667423631056986</v>
      </c>
      <c r="AW378">
        <f t="shared" si="303"/>
        <v>41408.307659010279</v>
      </c>
      <c r="AX378">
        <f t="shared" si="304"/>
        <v>-14576.150375014038</v>
      </c>
      <c r="AY378">
        <f t="shared" si="312"/>
        <v>-0.33846459957481528</v>
      </c>
      <c r="BA378">
        <f t="shared" si="289"/>
        <v>2.4885984201673854</v>
      </c>
      <c r="BB378">
        <f t="shared" si="305"/>
        <v>7.9190964217163815</v>
      </c>
      <c r="BC378">
        <f t="shared" si="306"/>
        <v>-1.3282777635308833</v>
      </c>
      <c r="BD378">
        <f t="shared" si="290"/>
        <v>-256.10470995835789</v>
      </c>
      <c r="BF378">
        <f t="shared" si="291"/>
        <v>-36.820678159706517</v>
      </c>
      <c r="BG378">
        <f t="shared" si="292"/>
        <v>-167.16297984023947</v>
      </c>
      <c r="BH378">
        <f t="shared" si="307"/>
        <v>12.837020159760527</v>
      </c>
      <c r="BI378">
        <f t="shared" si="308"/>
        <v>12.837020159760527</v>
      </c>
      <c r="BJ378">
        <f t="shared" si="293"/>
        <v>0</v>
      </c>
      <c r="BK378">
        <f t="shared" si="309"/>
        <v>0</v>
      </c>
      <c r="BM378">
        <f t="shared" si="310"/>
        <v>-44.7397745814229</v>
      </c>
      <c r="BN378">
        <f t="shared" si="294"/>
        <v>-91.0582698818816</v>
      </c>
      <c r="BQ378" s="66">
        <f t="shared" si="311"/>
        <v>24.821057222001521</v>
      </c>
      <c r="BR378" s="71"/>
      <c r="BS378" s="71"/>
      <c r="BT378" s="71">
        <v>478630.092</v>
      </c>
      <c r="BU378" s="71">
        <v>13.0069</v>
      </c>
      <c r="BV378" s="71">
        <v>129.95699999999999</v>
      </c>
      <c r="BY378" s="71"/>
      <c r="BZ378" s="71"/>
      <c r="CA378" s="71"/>
      <c r="CC378" s="71"/>
    </row>
    <row r="379" spans="1:81" x14ac:dyDescent="0.2">
      <c r="A379">
        <f t="shared" si="319"/>
        <v>825000</v>
      </c>
      <c r="B379">
        <f t="shared" si="295"/>
        <v>825</v>
      </c>
      <c r="C379">
        <f t="shared" si="264"/>
        <v>51.327658199005889</v>
      </c>
      <c r="D379">
        <f t="shared" si="265"/>
        <v>1.5513124206841251</v>
      </c>
      <c r="F379">
        <f t="shared" si="266"/>
        <v>7.4804447659048693E-6</v>
      </c>
      <c r="G379">
        <f t="shared" si="267"/>
        <v>1.1255214542908278E-3</v>
      </c>
      <c r="H379">
        <f t="shared" si="268"/>
        <v>-3.1404671285457093</v>
      </c>
      <c r="J379">
        <f t="shared" si="269"/>
        <v>15</v>
      </c>
      <c r="M379">
        <f t="shared" si="270"/>
        <v>4.0890898884240181E-3</v>
      </c>
      <c r="N379">
        <f t="shared" si="271"/>
        <v>-1.5707963250000001</v>
      </c>
      <c r="O379">
        <f t="shared" si="272"/>
        <v>244.46193578384865</v>
      </c>
      <c r="P379">
        <f t="shared" si="273"/>
        <v>1.5667056990017736</v>
      </c>
      <c r="Q379">
        <f t="shared" si="274"/>
        <v>338.69972142623561</v>
      </c>
      <c r="R379">
        <f t="shared" si="275"/>
        <v>1.5678438547685274</v>
      </c>
      <c r="S379">
        <f t="shared" si="276"/>
        <v>3.2460172095885767E-2</v>
      </c>
      <c r="T379">
        <f t="shared" si="277"/>
        <v>-1.5383304516486844</v>
      </c>
      <c r="U379">
        <f t="shared" si="278"/>
        <v>0.99567855589024989</v>
      </c>
      <c r="V379">
        <f t="shared" si="279"/>
        <v>-9.3000647109370407E-2</v>
      </c>
      <c r="X379">
        <f t="shared" si="296"/>
        <v>-24.010143100028586</v>
      </c>
      <c r="Y379">
        <f t="shared" si="280"/>
        <v>-94.923784601062394</v>
      </c>
      <c r="Z379">
        <f t="shared" si="297"/>
        <v>85.076215398937606</v>
      </c>
      <c r="AC379">
        <v>1</v>
      </c>
      <c r="AD379">
        <f t="shared" si="281"/>
        <v>244.45989046710005</v>
      </c>
      <c r="AE379">
        <f t="shared" si="282"/>
        <v>-1.2671891019335568E-3</v>
      </c>
      <c r="AF379">
        <f t="shared" si="283"/>
        <v>1.3586288653822502E-2</v>
      </c>
      <c r="AG379">
        <f t="shared" si="315"/>
        <v>17831.149997364122</v>
      </c>
      <c r="AH379">
        <f t="shared" si="316"/>
        <v>-1736.7096749386233</v>
      </c>
      <c r="AJ379">
        <f t="shared" si="284"/>
        <v>18000</v>
      </c>
      <c r="AK379">
        <f t="shared" si="285"/>
        <v>554233.49212769989</v>
      </c>
      <c r="AL379">
        <v>1</v>
      </c>
      <c r="AM379">
        <f t="shared" si="286"/>
        <v>338.69824518914999</v>
      </c>
      <c r="AN379">
        <f t="shared" si="317"/>
        <v>1636.5062792575193</v>
      </c>
      <c r="AO379">
        <f t="shared" si="318"/>
        <v>-48.31289784688461</v>
      </c>
      <c r="AQ379">
        <f t="shared" si="287"/>
        <v>3.6730932330236057E-3</v>
      </c>
      <c r="AR379">
        <f t="shared" si="288"/>
        <v>-6.0606038344889495</v>
      </c>
      <c r="AT379">
        <f t="shared" si="313"/>
        <v>-10460.01383893473</v>
      </c>
      <c r="AU379">
        <f t="shared" si="314"/>
        <v>-108073.91514392736</v>
      </c>
      <c r="AV379">
        <f t="shared" si="302"/>
        <v>-1.6672815411655333</v>
      </c>
      <c r="AW379">
        <f t="shared" si="303"/>
        <v>41407.647959169488</v>
      </c>
      <c r="AX379">
        <f t="shared" si="304"/>
        <v>-14532.563413366064</v>
      </c>
      <c r="AY379">
        <f t="shared" si="312"/>
        <v>-0.33753270597714208</v>
      </c>
      <c r="BA379">
        <f t="shared" si="289"/>
        <v>2.474236565380656</v>
      </c>
      <c r="BB379">
        <f t="shared" si="305"/>
        <v>7.8688244161915168</v>
      </c>
      <c r="BC379">
        <f t="shared" si="306"/>
        <v>-1.3297488351883913</v>
      </c>
      <c r="BD379">
        <f t="shared" si="290"/>
        <v>-256.18899615579073</v>
      </c>
      <c r="BF379">
        <f t="shared" si="291"/>
        <v>-36.92377298733183</v>
      </c>
      <c r="BG379">
        <f t="shared" si="292"/>
        <v>-167.24085401364673</v>
      </c>
      <c r="BH379">
        <f t="shared" si="307"/>
        <v>12.759145986353275</v>
      </c>
      <c r="BI379">
        <f t="shared" si="308"/>
        <v>12.759145986353275</v>
      </c>
      <c r="BJ379">
        <f t="shared" si="293"/>
        <v>0</v>
      </c>
      <c r="BK379">
        <f t="shared" si="309"/>
        <v>0</v>
      </c>
      <c r="BM379">
        <f t="shared" si="310"/>
        <v>-44.792597403523345</v>
      </c>
      <c r="BN379">
        <f t="shared" si="294"/>
        <v>-91.051857857855993</v>
      </c>
      <c r="BQ379" s="66">
        <f t="shared" si="311"/>
        <v>24.770785216476654</v>
      </c>
      <c r="BR379" s="71"/>
      <c r="BS379" s="71"/>
      <c r="BT379" s="71">
        <v>489778.81900000002</v>
      </c>
      <c r="BU379" s="71">
        <v>12.7394</v>
      </c>
      <c r="BV379" s="71">
        <v>126.41800000000001</v>
      </c>
      <c r="BY379" s="71"/>
      <c r="BZ379" s="71"/>
      <c r="CA379" s="71"/>
      <c r="CC379" s="71"/>
    </row>
    <row r="380" spans="1:81" x14ac:dyDescent="0.2">
      <c r="A380">
        <f t="shared" si="319"/>
        <v>830000</v>
      </c>
      <c r="B380">
        <f t="shared" si="295"/>
        <v>830</v>
      </c>
      <c r="C380">
        <f t="shared" si="264"/>
        <v>51.638617194074001</v>
      </c>
      <c r="D380">
        <f t="shared" si="265"/>
        <v>1.5514297641775929</v>
      </c>
      <c r="F380">
        <f t="shared" si="266"/>
        <v>7.3905897752526207E-6</v>
      </c>
      <c r="G380">
        <f t="shared" si="267"/>
        <v>1.1187411088649972E-3</v>
      </c>
      <c r="H380">
        <f t="shared" si="268"/>
        <v>-3.1404739088911353</v>
      </c>
      <c r="J380">
        <f t="shared" si="269"/>
        <v>15</v>
      </c>
      <c r="M380">
        <f t="shared" si="270"/>
        <v>4.0644568168070059E-3</v>
      </c>
      <c r="N380">
        <f t="shared" si="271"/>
        <v>-1.5707963250000001</v>
      </c>
      <c r="O380">
        <f t="shared" si="272"/>
        <v>245.94349855650557</v>
      </c>
      <c r="P380">
        <f t="shared" si="273"/>
        <v>1.5667303410654594</v>
      </c>
      <c r="Q380">
        <f t="shared" si="274"/>
        <v>340.75242917078947</v>
      </c>
      <c r="R380">
        <f t="shared" si="275"/>
        <v>1.5678616406421608</v>
      </c>
      <c r="S380">
        <f t="shared" si="276"/>
        <v>3.2264833070985002E-2</v>
      </c>
      <c r="T380">
        <f t="shared" si="277"/>
        <v>-1.5385258930466821</v>
      </c>
      <c r="U380">
        <f t="shared" si="278"/>
        <v>0.99562636020499318</v>
      </c>
      <c r="V380">
        <f t="shared" si="279"/>
        <v>-9.3561013669185539E-2</v>
      </c>
      <c r="X380">
        <f t="shared" si="296"/>
        <v>-24.063048205319323</v>
      </c>
      <c r="Y380">
        <f t="shared" si="280"/>
        <v>-94.958323463712645</v>
      </c>
      <c r="Z380">
        <f t="shared" si="297"/>
        <v>85.041676536287355</v>
      </c>
      <c r="AC380">
        <v>1</v>
      </c>
      <c r="AD380">
        <f t="shared" si="281"/>
        <v>245.94146556084002</v>
      </c>
      <c r="AE380">
        <f t="shared" si="282"/>
        <v>-1.2825955148900311E-3</v>
      </c>
      <c r="AF380">
        <f t="shared" si="283"/>
        <v>1.3668629797179E-2</v>
      </c>
      <c r="AG380">
        <f t="shared" si="315"/>
        <v>17829.280549252373</v>
      </c>
      <c r="AH380">
        <f t="shared" si="316"/>
        <v>-1746.1702906836433</v>
      </c>
      <c r="AJ380">
        <f t="shared" si="284"/>
        <v>18000</v>
      </c>
      <c r="AK380">
        <f t="shared" si="285"/>
        <v>557592.48298908002</v>
      </c>
      <c r="AL380">
        <v>1</v>
      </c>
      <c r="AM380">
        <f t="shared" si="286"/>
        <v>340.75096182665999</v>
      </c>
      <c r="AN380">
        <f t="shared" si="317"/>
        <v>1636.5045658596662</v>
      </c>
      <c r="AO380">
        <f t="shared" si="318"/>
        <v>-48.021861321889517</v>
      </c>
      <c r="AQ380">
        <f t="shared" si="287"/>
        <v>3.6289724092856694E-3</v>
      </c>
      <c r="AR380">
        <f t="shared" si="288"/>
        <v>-6.0240941994142112</v>
      </c>
      <c r="AT380">
        <f t="shared" si="313"/>
        <v>-10454.392352106112</v>
      </c>
      <c r="AU380">
        <f t="shared" si="314"/>
        <v>-107411.60234028664</v>
      </c>
      <c r="AV380">
        <f t="shared" si="302"/>
        <v>-1.6678209166278362</v>
      </c>
      <c r="AW380">
        <f t="shared" si="303"/>
        <v>41406.900412844188</v>
      </c>
      <c r="AX380">
        <f t="shared" si="304"/>
        <v>-14489.762959959633</v>
      </c>
      <c r="AY380">
        <f t="shared" si="312"/>
        <v>-0.33661775655230175</v>
      </c>
      <c r="BA380">
        <f t="shared" si="289"/>
        <v>2.4600354263042843</v>
      </c>
      <c r="BB380">
        <f t="shared" si="305"/>
        <v>7.8188272261137906</v>
      </c>
      <c r="BC380">
        <f t="shared" si="306"/>
        <v>-1.3312031600755345</v>
      </c>
      <c r="BD380">
        <f t="shared" si="290"/>
        <v>-256.27232283396006</v>
      </c>
      <c r="BF380">
        <f t="shared" si="291"/>
        <v>-37.026273576249913</v>
      </c>
      <c r="BG380">
        <f t="shared" si="292"/>
        <v>-167.31784589005636</v>
      </c>
      <c r="BH380">
        <f t="shared" si="307"/>
        <v>12.682154109943639</v>
      </c>
      <c r="BI380">
        <f t="shared" si="308"/>
        <v>12.682154109943639</v>
      </c>
      <c r="BJ380">
        <f t="shared" si="293"/>
        <v>0</v>
      </c>
      <c r="BK380">
        <f t="shared" si="309"/>
        <v>0</v>
      </c>
      <c r="BM380">
        <f t="shared" si="310"/>
        <v>-44.845100802363703</v>
      </c>
      <c r="BN380">
        <f t="shared" si="294"/>
        <v>-91.045523056096286</v>
      </c>
      <c r="BQ380" s="66">
        <f t="shared" si="311"/>
        <v>24.720788026398925</v>
      </c>
      <c r="BR380" s="71"/>
      <c r="BS380" s="71"/>
      <c r="BT380" s="71">
        <v>501187.234</v>
      </c>
      <c r="BU380" s="71">
        <v>12.4757</v>
      </c>
      <c r="BV380" s="71">
        <v>125.40900000000001</v>
      </c>
      <c r="BY380" s="71"/>
      <c r="BZ380" s="71"/>
      <c r="CA380" s="71"/>
      <c r="CC380" s="71"/>
    </row>
    <row r="381" spans="1:81" x14ac:dyDescent="0.2">
      <c r="A381">
        <f t="shared" si="319"/>
        <v>835000</v>
      </c>
      <c r="B381">
        <f t="shared" si="295"/>
        <v>835</v>
      </c>
      <c r="C381">
        <f t="shared" si="264"/>
        <v>51.949576891667562</v>
      </c>
      <c r="D381">
        <f t="shared" si="265"/>
        <v>1.551545702883635</v>
      </c>
      <c r="F381">
        <f t="shared" si="266"/>
        <v>7.3023441229422192E-6</v>
      </c>
      <c r="G381">
        <f t="shared" si="267"/>
        <v>1.112041966884575E-3</v>
      </c>
      <c r="H381">
        <f t="shared" si="268"/>
        <v>-3.1404806080331156</v>
      </c>
      <c r="J381">
        <f t="shared" si="269"/>
        <v>15</v>
      </c>
      <c r="M381">
        <f t="shared" si="270"/>
        <v>4.0401187520357068E-3</v>
      </c>
      <c r="N381">
        <f t="shared" si="271"/>
        <v>-1.5707963250000001</v>
      </c>
      <c r="O381">
        <f t="shared" si="272"/>
        <v>247.42506147671858</v>
      </c>
      <c r="P381">
        <f t="shared" si="273"/>
        <v>1.5667546880194596</v>
      </c>
      <c r="Q381">
        <f t="shared" si="274"/>
        <v>342.80513702184516</v>
      </c>
      <c r="R381">
        <f t="shared" si="275"/>
        <v>1.5678792135131432</v>
      </c>
      <c r="S381">
        <f t="shared" si="276"/>
        <v>3.207182980433175E-2</v>
      </c>
      <c r="T381">
        <f t="shared" si="277"/>
        <v>-1.5387189962512442</v>
      </c>
      <c r="U381">
        <f t="shared" si="278"/>
        <v>0.99557385742027016</v>
      </c>
      <c r="V381">
        <f t="shared" si="279"/>
        <v>-9.4121321304835609E-2</v>
      </c>
      <c r="X381">
        <f t="shared" si="296"/>
        <v>-24.115641391941374</v>
      </c>
      <c r="Y381">
        <f t="shared" si="280"/>
        <v>-94.992829930109593</v>
      </c>
      <c r="Z381">
        <f t="shared" si="297"/>
        <v>85.007170069890407</v>
      </c>
      <c r="AC381">
        <v>1</v>
      </c>
      <c r="AD381">
        <f t="shared" si="281"/>
        <v>247.42304065458001</v>
      </c>
      <c r="AE381">
        <f t="shared" si="282"/>
        <v>-1.2980950179550033E-3</v>
      </c>
      <c r="AF381">
        <f t="shared" si="283"/>
        <v>1.3750970940535501E-2</v>
      </c>
      <c r="AG381">
        <f t="shared" si="315"/>
        <v>17827.400200892127</v>
      </c>
      <c r="AH381">
        <f t="shared" si="316"/>
        <v>-1755.6330740764367</v>
      </c>
      <c r="AJ381">
        <f t="shared" si="284"/>
        <v>18000</v>
      </c>
      <c r="AK381">
        <f t="shared" si="285"/>
        <v>560951.47385045991</v>
      </c>
      <c r="AL381">
        <v>1</v>
      </c>
      <c r="AM381">
        <f t="shared" si="286"/>
        <v>342.80367846416999</v>
      </c>
      <c r="AN381">
        <f t="shared" si="317"/>
        <v>1636.5028831488182</v>
      </c>
      <c r="AO381">
        <f t="shared" si="318"/>
        <v>-47.734310174741907</v>
      </c>
      <c r="AQ381">
        <f t="shared" si="287"/>
        <v>3.585641799404138E-3</v>
      </c>
      <c r="AR381">
        <f t="shared" si="288"/>
        <v>-5.9880218050049105</v>
      </c>
      <c r="AT381">
        <f t="shared" si="313"/>
        <v>-10448.846457822479</v>
      </c>
      <c r="AU381">
        <f t="shared" si="314"/>
        <v>-106757.1562008258</v>
      </c>
      <c r="AV381">
        <f t="shared" si="302"/>
        <v>-1.6683604845515292</v>
      </c>
      <c r="AW381">
        <f t="shared" si="303"/>
        <v>41406.066548334311</v>
      </c>
      <c r="AX381">
        <f t="shared" si="304"/>
        <v>-14447.734714320704</v>
      </c>
      <c r="AY381">
        <f t="shared" si="312"/>
        <v>-0.3357194617841035</v>
      </c>
      <c r="BA381">
        <f t="shared" si="289"/>
        <v>2.4459923916357718</v>
      </c>
      <c r="BB381">
        <f t="shared" si="305"/>
        <v>7.7691020362151475</v>
      </c>
      <c r="BC381">
        <f t="shared" si="306"/>
        <v>-1.3326410227674257</v>
      </c>
      <c r="BD381">
        <f t="shared" si="290"/>
        <v>-256.35470629781889</v>
      </c>
      <c r="BF381">
        <f t="shared" si="291"/>
        <v>-37.128186583144839</v>
      </c>
      <c r="BG381">
        <f t="shared" si="292"/>
        <v>-167.39397038793143</v>
      </c>
      <c r="BH381">
        <f t="shared" si="307"/>
        <v>12.606029612068568</v>
      </c>
      <c r="BI381">
        <f t="shared" si="308"/>
        <v>12.606029612068568</v>
      </c>
      <c r="BJ381">
        <f t="shared" si="293"/>
        <v>0</v>
      </c>
      <c r="BK381">
        <f t="shared" si="309"/>
        <v>0</v>
      </c>
      <c r="BM381">
        <f t="shared" si="310"/>
        <v>-44.897288619359998</v>
      </c>
      <c r="BN381">
        <f t="shared" si="294"/>
        <v>-91.039264090112525</v>
      </c>
      <c r="BQ381" s="66">
        <f t="shared" si="311"/>
        <v>24.671062836500287</v>
      </c>
      <c r="BR381" s="71"/>
      <c r="BS381" s="71"/>
      <c r="BT381" s="71">
        <v>512861.38400000002</v>
      </c>
      <c r="BU381" s="71">
        <v>12.1639</v>
      </c>
      <c r="BV381" s="71">
        <v>124.027</v>
      </c>
      <c r="BY381" s="71"/>
      <c r="BZ381" s="71"/>
      <c r="CA381" s="71"/>
      <c r="CC381" s="71"/>
    </row>
    <row r="382" spans="1:81" x14ac:dyDescent="0.2">
      <c r="A382">
        <f t="shared" si="319"/>
        <v>840000</v>
      </c>
      <c r="B382">
        <f t="shared" si="295"/>
        <v>840</v>
      </c>
      <c r="C382">
        <f t="shared" si="264"/>
        <v>52.26053727924613</v>
      </c>
      <c r="D382">
        <f t="shared" si="265"/>
        <v>1.5516602618753841</v>
      </c>
      <c r="F382">
        <f t="shared" si="266"/>
        <v>7.2156696052365221E-6</v>
      </c>
      <c r="G382">
        <f t="shared" si="267"/>
        <v>1.1054225782478313E-3</v>
      </c>
      <c r="H382">
        <f t="shared" si="268"/>
        <v>-3.1404872274217523</v>
      </c>
      <c r="J382">
        <f t="shared" si="269"/>
        <v>15</v>
      </c>
      <c r="M382">
        <f t="shared" si="270"/>
        <v>4.0160704261307323E-3</v>
      </c>
      <c r="N382">
        <f t="shared" si="271"/>
        <v>-1.5707963250000001</v>
      </c>
      <c r="O382">
        <f t="shared" si="272"/>
        <v>248.90662454185272</v>
      </c>
      <c r="P382">
        <f t="shared" si="273"/>
        <v>1.566778745133476</v>
      </c>
      <c r="Q382">
        <f t="shared" si="274"/>
        <v>344.85784497750086</v>
      </c>
      <c r="R382">
        <f t="shared" si="275"/>
        <v>1.5678965771850502</v>
      </c>
      <c r="S382">
        <f t="shared" si="276"/>
        <v>3.1881120671535715E-2</v>
      </c>
      <c r="T382">
        <f t="shared" si="277"/>
        <v>-1.5389098029587283</v>
      </c>
      <c r="U382">
        <f t="shared" si="278"/>
        <v>0.9955210476835511</v>
      </c>
      <c r="V382">
        <f t="shared" si="279"/>
        <v>-9.4681569673858726E-2</v>
      </c>
      <c r="X382">
        <f t="shared" si="296"/>
        <v>-24.167926408773166</v>
      </c>
      <c r="Y382">
        <f t="shared" si="280"/>
        <v>-95.027304496296551</v>
      </c>
      <c r="Z382">
        <f t="shared" si="297"/>
        <v>84.972695503703449</v>
      </c>
      <c r="AC382">
        <v>1</v>
      </c>
      <c r="AD382">
        <f t="shared" si="281"/>
        <v>248.90461574832003</v>
      </c>
      <c r="AE382">
        <f t="shared" si="282"/>
        <v>-1.3136876111284742E-3</v>
      </c>
      <c r="AF382">
        <f t="shared" si="283"/>
        <v>1.3833312083892001E-2</v>
      </c>
      <c r="AG382">
        <f t="shared" si="315"/>
        <v>17825.508959304523</v>
      </c>
      <c r="AH382">
        <f t="shared" si="316"/>
        <v>-1765.0979124753621</v>
      </c>
      <c r="AJ382">
        <f t="shared" si="284"/>
        <v>18000</v>
      </c>
      <c r="AK382">
        <f t="shared" si="285"/>
        <v>564310.46471183992</v>
      </c>
      <c r="AL382">
        <v>1</v>
      </c>
      <c r="AM382">
        <f t="shared" si="286"/>
        <v>344.85639510167999</v>
      </c>
      <c r="AN382">
        <f t="shared" si="317"/>
        <v>1636.5012303965225</v>
      </c>
      <c r="AO382">
        <f t="shared" si="318"/>
        <v>-47.450182168663986</v>
      </c>
      <c r="AQ382">
        <f t="shared" si="287"/>
        <v>3.5430826448828497E-3</v>
      </c>
      <c r="AR382">
        <f t="shared" si="288"/>
        <v>-5.9523788434031877</v>
      </c>
      <c r="AT382">
        <f t="shared" si="313"/>
        <v>-10443.374219323561</v>
      </c>
      <c r="AU382">
        <f t="shared" si="314"/>
        <v>-106110.43629003843</v>
      </c>
      <c r="AV382">
        <f t="shared" si="302"/>
        <v>-1.6689002401052371</v>
      </c>
      <c r="AW382">
        <f t="shared" si="303"/>
        <v>41405.147849143345</v>
      </c>
      <c r="AX382">
        <f t="shared" si="304"/>
        <v>-14406.464715711827</v>
      </c>
      <c r="AY382">
        <f t="shared" si="312"/>
        <v>-0.33483753858788201</v>
      </c>
      <c r="BA382">
        <f t="shared" si="289"/>
        <v>2.4321049046621495</v>
      </c>
      <c r="BB382">
        <f t="shared" si="305"/>
        <v>7.7196460710050454</v>
      </c>
      <c r="BC382">
        <f t="shared" si="306"/>
        <v>-1.3340627015173552</v>
      </c>
      <c r="BD382">
        <f t="shared" si="290"/>
        <v>-256.43616249010637</v>
      </c>
      <c r="BF382">
        <f t="shared" si="291"/>
        <v>-37.229518556015243</v>
      </c>
      <c r="BG382">
        <f t="shared" si="292"/>
        <v>-167.46924209651118</v>
      </c>
      <c r="BH382">
        <f t="shared" si="307"/>
        <v>12.530757903488819</v>
      </c>
      <c r="BI382">
        <f t="shared" si="308"/>
        <v>12.530757903488819</v>
      </c>
      <c r="BJ382">
        <f t="shared" si="293"/>
        <v>0</v>
      </c>
      <c r="BK382">
        <f t="shared" si="309"/>
        <v>0</v>
      </c>
      <c r="BM382">
        <f t="shared" si="310"/>
        <v>-44.949164627020295</v>
      </c>
      <c r="BN382">
        <f t="shared" si="294"/>
        <v>-91.033079606404812</v>
      </c>
      <c r="BQ382" s="66">
        <f t="shared" si="311"/>
        <v>24.621606871290179</v>
      </c>
      <c r="BR382" s="71"/>
      <c r="BS382" s="71"/>
      <c r="BT382" s="71">
        <v>524807.46</v>
      </c>
      <c r="BU382" s="71">
        <v>11.9579</v>
      </c>
      <c r="BV382" s="71">
        <v>122.795</v>
      </c>
      <c r="BY382" s="71"/>
      <c r="BZ382" s="71"/>
      <c r="CA382" s="71"/>
      <c r="CC382" s="71"/>
    </row>
    <row r="383" spans="1:81" x14ac:dyDescent="0.2">
      <c r="A383">
        <f t="shared" si="319"/>
        <v>845000</v>
      </c>
      <c r="B383">
        <f t="shared" si="295"/>
        <v>845</v>
      </c>
      <c r="C383">
        <f t="shared" si="264"/>
        <v>52.571498344565917</v>
      </c>
      <c r="D383">
        <f t="shared" si="265"/>
        <v>1.5517734656328876</v>
      </c>
      <c r="F383">
        <f t="shared" si="266"/>
        <v>7.1305291453473563E-6</v>
      </c>
      <c r="G383">
        <f t="shared" si="267"/>
        <v>1.0988815271761494E-3</v>
      </c>
      <c r="H383">
        <f t="shared" si="268"/>
        <v>-3.1404937684728242</v>
      </c>
      <c r="J383">
        <f t="shared" si="269"/>
        <v>15</v>
      </c>
      <c r="M383">
        <f t="shared" si="270"/>
        <v>3.9923066957985977E-3</v>
      </c>
      <c r="N383">
        <f t="shared" si="271"/>
        <v>-1.5707963250000001</v>
      </c>
      <c r="O383">
        <f t="shared" si="272"/>
        <v>250.38818774933551</v>
      </c>
      <c r="P383">
        <f t="shared" si="273"/>
        <v>1.5668025175524862</v>
      </c>
      <c r="Q383">
        <f t="shared" si="274"/>
        <v>346.91055303589974</v>
      </c>
      <c r="R383">
        <f t="shared" si="275"/>
        <v>1.5679137353714332</v>
      </c>
      <c r="S383">
        <f t="shared" si="276"/>
        <v>3.1692665030893616E-2</v>
      </c>
      <c r="T383">
        <f t="shared" si="277"/>
        <v>-1.5390983538802683</v>
      </c>
      <c r="U383">
        <f t="shared" si="278"/>
        <v>0.99546793114312671</v>
      </c>
      <c r="V383">
        <f t="shared" si="279"/>
        <v>-9.5241758434014279E-2</v>
      </c>
      <c r="X383">
        <f t="shared" si="296"/>
        <v>-24.21990693809024</v>
      </c>
      <c r="Y383">
        <f t="shared" si="280"/>
        <v>-95.061747646199095</v>
      </c>
      <c r="Z383">
        <f t="shared" si="297"/>
        <v>84.938252353800905</v>
      </c>
      <c r="AC383">
        <v>1</v>
      </c>
      <c r="AD383">
        <f t="shared" si="281"/>
        <v>250.38619084206002</v>
      </c>
      <c r="AE383">
        <f t="shared" si="282"/>
        <v>-1.3293732944104433E-3</v>
      </c>
      <c r="AF383">
        <f t="shared" si="283"/>
        <v>1.3915653227248501E-2</v>
      </c>
      <c r="AG383">
        <f t="shared" si="315"/>
        <v>17823.606831549139</v>
      </c>
      <c r="AH383">
        <f t="shared" si="316"/>
        <v>-1774.5646955026682</v>
      </c>
      <c r="AJ383">
        <f t="shared" si="284"/>
        <v>18000</v>
      </c>
      <c r="AK383">
        <f t="shared" si="285"/>
        <v>567669.45557322004</v>
      </c>
      <c r="AL383">
        <v>1</v>
      </c>
      <c r="AM383">
        <f t="shared" si="286"/>
        <v>346.90911173919</v>
      </c>
      <c r="AN383">
        <f t="shared" si="317"/>
        <v>1636.4996068958123</v>
      </c>
      <c r="AO383">
        <f t="shared" si="318"/>
        <v>-47.169416539875847</v>
      </c>
      <c r="AQ383">
        <f t="shared" si="287"/>
        <v>3.5012767405634463E-3</v>
      </c>
      <c r="AR383">
        <f t="shared" si="288"/>
        <v>-5.9171576915522248</v>
      </c>
      <c r="AT383">
        <f t="shared" si="313"/>
        <v>-10437.973757118394</v>
      </c>
      <c r="AU383">
        <f t="shared" si="314"/>
        <v>-105471.30549659676</v>
      </c>
      <c r="AV383">
        <f t="shared" si="302"/>
        <v>-1.6694401785640485</v>
      </c>
      <c r="AW383">
        <f t="shared" si="303"/>
        <v>41404.145755566933</v>
      </c>
      <c r="AX383">
        <f t="shared" si="304"/>
        <v>-14365.939333076636</v>
      </c>
      <c r="AY383">
        <f t="shared" si="312"/>
        <v>-0.33397171013518684</v>
      </c>
      <c r="BA383">
        <f t="shared" si="289"/>
        <v>2.4183704618907025</v>
      </c>
      <c r="BB383">
        <f t="shared" si="305"/>
        <v>7.6704565941112595</v>
      </c>
      <c r="BC383">
        <f t="shared" si="306"/>
        <v>-1.3354684684288616</v>
      </c>
      <c r="BD383">
        <f t="shared" si="290"/>
        <v>-256.5167070012069</v>
      </c>
      <c r="BF383">
        <f t="shared" si="291"/>
        <v>-37.330275936472447</v>
      </c>
      <c r="BG383">
        <f t="shared" si="292"/>
        <v>-167.54367528469473</v>
      </c>
      <c r="BH383">
        <f t="shared" si="307"/>
        <v>12.456324715305271</v>
      </c>
      <c r="BI383">
        <f t="shared" si="308"/>
        <v>12.456324715305271</v>
      </c>
      <c r="BJ383">
        <f t="shared" si="293"/>
        <v>0</v>
      </c>
      <c r="BK383">
        <f t="shared" si="309"/>
        <v>0</v>
      </c>
      <c r="BM383">
        <f t="shared" si="310"/>
        <v>-45.000732530583704</v>
      </c>
      <c r="BN383">
        <f t="shared" si="294"/>
        <v>-91.026968283487861</v>
      </c>
      <c r="BQ383" s="66">
        <f t="shared" si="311"/>
        <v>24.572417394396396</v>
      </c>
      <c r="BR383" s="71"/>
      <c r="BS383" s="71"/>
      <c r="BT383" s="71">
        <v>537031.79599999997</v>
      </c>
      <c r="BU383" s="71">
        <v>11.690200000000001</v>
      </c>
      <c r="BV383" s="71">
        <v>121.76300000000001</v>
      </c>
      <c r="BY383" s="71"/>
      <c r="BZ383" s="71"/>
      <c r="CA383" s="71"/>
      <c r="CC383" s="71"/>
    </row>
    <row r="384" spans="1:81" x14ac:dyDescent="0.2">
      <c r="A384">
        <f t="shared" si="319"/>
        <v>850000</v>
      </c>
      <c r="B384">
        <f t="shared" si="295"/>
        <v>850</v>
      </c>
      <c r="C384">
        <f t="shared" si="264"/>
        <v>52.882460075671091</v>
      </c>
      <c r="D384">
        <f t="shared" si="265"/>
        <v>1.5518853380605393</v>
      </c>
      <c r="F384">
        <f t="shared" si="266"/>
        <v>7.0468867537776973E-6</v>
      </c>
      <c r="G384">
        <f t="shared" si="267"/>
        <v>1.0924174312044812E-3</v>
      </c>
      <c r="H384">
        <f t="shared" si="268"/>
        <v>-3.1405002325687956</v>
      </c>
      <c r="J384">
        <f t="shared" si="269"/>
        <v>15</v>
      </c>
      <c r="M384">
        <f t="shared" si="270"/>
        <v>3.9688225387644891E-3</v>
      </c>
      <c r="N384">
        <f t="shared" si="271"/>
        <v>-1.5707963250000001</v>
      </c>
      <c r="O384">
        <f t="shared" si="272"/>
        <v>251.86975109665502</v>
      </c>
      <c r="P384">
        <f t="shared" si="273"/>
        <v>1.5668260103004137</v>
      </c>
      <c r="Q384">
        <f t="shared" si="274"/>
        <v>348.96326119522871</v>
      </c>
      <c r="R384">
        <f t="shared" si="275"/>
        <v>1.5679306916984674</v>
      </c>
      <c r="S384">
        <f t="shared" si="276"/>
        <v>3.1506423194574154E-2</v>
      </c>
      <c r="T384">
        <f t="shared" si="277"/>
        <v>-1.5392846887706928</v>
      </c>
      <c r="U384">
        <f t="shared" si="278"/>
        <v>0.99541450794810693</v>
      </c>
      <c r="V384">
        <f t="shared" si="279"/>
        <v>-9.5801887243284131E-2</v>
      </c>
      <c r="X384">
        <f t="shared" si="296"/>
        <v>-24.271586597132121</v>
      </c>
      <c r="Y384">
        <f t="shared" si="280"/>
        <v>-95.096159851979337</v>
      </c>
      <c r="Z384">
        <f t="shared" si="297"/>
        <v>84.903840148020663</v>
      </c>
      <c r="AC384">
        <v>1</v>
      </c>
      <c r="AD384">
        <f t="shared" si="281"/>
        <v>251.86776593580007</v>
      </c>
      <c r="AE384">
        <f t="shared" si="282"/>
        <v>-1.3451520678009108E-3</v>
      </c>
      <c r="AF384">
        <f t="shared" si="283"/>
        <v>1.3997994370605001E-2</v>
      </c>
      <c r="AG384">
        <f t="shared" si="315"/>
        <v>17821.693824723887</v>
      </c>
      <c r="AH384">
        <f t="shared" si="316"/>
        <v>-1784.0333149785884</v>
      </c>
      <c r="AJ384">
        <f t="shared" si="284"/>
        <v>18000</v>
      </c>
      <c r="AK384">
        <f t="shared" si="285"/>
        <v>571028.44643459993</v>
      </c>
      <c r="AL384">
        <v>1</v>
      </c>
      <c r="AM384">
        <f t="shared" si="286"/>
        <v>348.9618283767</v>
      </c>
      <c r="AN384">
        <f t="shared" si="317"/>
        <v>1636.4980119604527</v>
      </c>
      <c r="AO384">
        <f t="shared" si="318"/>
        <v>-46.891953954274186</v>
      </c>
      <c r="AQ384">
        <f t="shared" si="287"/>
        <v>3.4602064151534897E-3</v>
      </c>
      <c r="AR384">
        <f t="shared" si="288"/>
        <v>-5.8823509057609327</v>
      </c>
      <c r="AT384">
        <f t="shared" si="313"/>
        <v>-10432.643246970769</v>
      </c>
      <c r="AU384">
        <f t="shared" si="314"/>
        <v>-104839.62993557991</v>
      </c>
      <c r="AV384">
        <f t="shared" si="302"/>
        <v>-1.6699802953063931</v>
      </c>
      <c r="AW384">
        <f t="shared" si="303"/>
        <v>41403.061666216083</v>
      </c>
      <c r="AX384">
        <f t="shared" si="304"/>
        <v>-14326.145255339552</v>
      </c>
      <c r="AY384">
        <f t="shared" si="312"/>
        <v>-0.33312170568409494</v>
      </c>
      <c r="BA384">
        <f t="shared" si="289"/>
        <v>2.4047866117189032</v>
      </c>
      <c r="BB384">
        <f t="shared" si="305"/>
        <v>7.6215309076312092</v>
      </c>
      <c r="BC384">
        <f t="shared" si="306"/>
        <v>-1.3368585896222982</v>
      </c>
      <c r="BD384">
        <f t="shared" si="290"/>
        <v>-256.59635507869348</v>
      </c>
      <c r="BF384">
        <f t="shared" si="291"/>
        <v>-37.430465061979589</v>
      </c>
      <c r="BG384">
        <f t="shared" si="292"/>
        <v>-167.61728390964365</v>
      </c>
      <c r="BH384">
        <f t="shared" si="307"/>
        <v>12.382716090356354</v>
      </c>
      <c r="BI384">
        <f t="shared" si="308"/>
        <v>12.382716090356354</v>
      </c>
      <c r="BJ384">
        <f t="shared" si="293"/>
        <v>0</v>
      </c>
      <c r="BK384">
        <f t="shared" si="309"/>
        <v>0</v>
      </c>
      <c r="BM384">
        <f t="shared" si="310"/>
        <v>-45.0519959696108</v>
      </c>
      <c r="BN384">
        <f t="shared" si="294"/>
        <v>-91.020928830950169</v>
      </c>
      <c r="BQ384" s="66">
        <f t="shared" si="311"/>
        <v>24.523491707916346</v>
      </c>
      <c r="BR384" s="71"/>
      <c r="BS384" s="71"/>
      <c r="BT384" s="71">
        <v>549540.87399999995</v>
      </c>
      <c r="BU384" s="71">
        <v>11.575799999999999</v>
      </c>
      <c r="BV384" s="71">
        <v>121.762</v>
      </c>
      <c r="BY384" s="71"/>
      <c r="BZ384" s="71"/>
      <c r="CA384" s="71"/>
      <c r="CC384" s="71"/>
    </row>
    <row r="385" spans="1:81" x14ac:dyDescent="0.2">
      <c r="A385">
        <f t="shared" si="319"/>
        <v>855000</v>
      </c>
      <c r="B385">
        <f t="shared" si="295"/>
        <v>855</v>
      </c>
      <c r="C385">
        <f t="shared" si="264"/>
        <v>53.193422460885373</v>
      </c>
      <c r="D385">
        <f t="shared" si="265"/>
        <v>1.5519959025038996</v>
      </c>
      <c r="F385">
        <f t="shared" si="266"/>
        <v>6.9647074902825129E-6</v>
      </c>
      <c r="G385">
        <f t="shared" si="267"/>
        <v>1.0860289402072276E-3</v>
      </c>
      <c r="H385">
        <f t="shared" si="268"/>
        <v>-3.1405066210597932</v>
      </c>
      <c r="J385">
        <f t="shared" si="269"/>
        <v>15</v>
      </c>
      <c r="M385">
        <f t="shared" si="270"/>
        <v>3.9456130502337015E-3</v>
      </c>
      <c r="N385">
        <f t="shared" si="271"/>
        <v>-1.5707963250000001</v>
      </c>
      <c r="O385">
        <f t="shared" si="272"/>
        <v>253.35131458135791</v>
      </c>
      <c r="P385">
        <f t="shared" si="273"/>
        <v>1.5668492282836657</v>
      </c>
      <c r="Q385">
        <f t="shared" si="274"/>
        <v>351.0159694537171</v>
      </c>
      <c r="R385">
        <f t="shared" si="275"/>
        <v>1.5679474497075065</v>
      </c>
      <c r="S385">
        <f t="shared" si="276"/>
        <v>3.1322356400810457E-2</v>
      </c>
      <c r="T385">
        <f t="shared" si="277"/>
        <v>-1.5394688464564321</v>
      </c>
      <c r="U385">
        <f t="shared" si="278"/>
        <v>0.99536077824841918</v>
      </c>
      <c r="V385">
        <f t="shared" si="279"/>
        <v>-9.6361955759873816E-2</v>
      </c>
      <c r="X385">
        <f t="shared" si="296"/>
        <v>-24.322968939623429</v>
      </c>
      <c r="Y385">
        <f t="shared" si="280"/>
        <v>-95.130541574377858</v>
      </c>
      <c r="Z385">
        <f t="shared" si="297"/>
        <v>84.869458425622142</v>
      </c>
      <c r="AC385">
        <v>1</v>
      </c>
      <c r="AD385">
        <f t="shared" si="281"/>
        <v>253.34934102954003</v>
      </c>
      <c r="AE385">
        <f t="shared" si="282"/>
        <v>-1.3610239312998762E-3</v>
      </c>
      <c r="AF385">
        <f t="shared" si="283"/>
        <v>1.4080335513961499E-2</v>
      </c>
      <c r="AG385">
        <f t="shared" si="315"/>
        <v>17819.769945964988</v>
      </c>
      <c r="AH385">
        <f t="shared" si="316"/>
        <v>-1793.5036648577479</v>
      </c>
      <c r="AJ385">
        <f t="shared" si="284"/>
        <v>18000</v>
      </c>
      <c r="AK385">
        <f t="shared" si="285"/>
        <v>574387.43729597994</v>
      </c>
      <c r="AL385">
        <v>1</v>
      </c>
      <c r="AM385">
        <f t="shared" si="286"/>
        <v>351.01454501421</v>
      </c>
      <c r="AN385">
        <f t="shared" si="317"/>
        <v>1636.4964449242152</v>
      </c>
      <c r="AO385">
        <f t="shared" si="318"/>
        <v>-46.617736465630919</v>
      </c>
      <c r="AQ385">
        <f t="shared" si="287"/>
        <v>3.4198545125493271E-3</v>
      </c>
      <c r="AR385">
        <f t="shared" si="288"/>
        <v>-5.8479512164593492</v>
      </c>
      <c r="AT385">
        <f t="shared" si="313"/>
        <v>-10427.380917966868</v>
      </c>
      <c r="AU385">
        <f t="shared" si="314"/>
        <v>-104215.27885413326</v>
      </c>
      <c r="AV385">
        <f t="shared" si="302"/>
        <v>-1.6705205858110277</v>
      </c>
      <c r="AW385">
        <f t="shared" si="303"/>
        <v>41401.896939478553</v>
      </c>
      <c r="AX385">
        <f t="shared" si="304"/>
        <v>-14287.069482046012</v>
      </c>
      <c r="AY385">
        <f t="shared" si="312"/>
        <v>-0.33228726041493373</v>
      </c>
      <c r="BA385">
        <f t="shared" si="289"/>
        <v>2.3913509531423136</v>
      </c>
      <c r="BB385">
        <f t="shared" si="305"/>
        <v>7.5728663514937002</v>
      </c>
      <c r="BC385">
        <f t="shared" si="306"/>
        <v>-1.3382333253960939</v>
      </c>
      <c r="BD385">
        <f t="shared" si="290"/>
        <v>-256.67512163656761</v>
      </c>
      <c r="BF385">
        <f t="shared" si="291"/>
        <v>-37.530092168033626</v>
      </c>
      <c r="BG385">
        <f t="shared" si="292"/>
        <v>-167.69008162511381</v>
      </c>
      <c r="BH385">
        <f t="shared" si="307"/>
        <v>12.309918374886195</v>
      </c>
      <c r="BI385">
        <f t="shared" si="308"/>
        <v>12.309918374886195</v>
      </c>
      <c r="BJ385">
        <f t="shared" si="293"/>
        <v>0</v>
      </c>
      <c r="BK385">
        <f t="shared" si="309"/>
        <v>0</v>
      </c>
      <c r="BM385">
        <f t="shared" si="310"/>
        <v>-45.102958519527327</v>
      </c>
      <c r="BN385">
        <f t="shared" si="294"/>
        <v>-91.014959988546195</v>
      </c>
      <c r="BQ385" s="66">
        <f t="shared" si="311"/>
        <v>24.474827151778836</v>
      </c>
      <c r="BR385" s="71"/>
      <c r="BS385" s="71"/>
      <c r="BT385" s="71">
        <v>562341.32499999995</v>
      </c>
      <c r="BU385" s="71">
        <v>11.314</v>
      </c>
      <c r="BV385" s="71">
        <v>119.89400000000001</v>
      </c>
      <c r="BY385" s="71"/>
      <c r="BZ385" s="71"/>
      <c r="CA385" s="71"/>
      <c r="CC385" s="71"/>
    </row>
    <row r="386" spans="1:81" x14ac:dyDescent="0.2">
      <c r="A386">
        <f t="shared" si="319"/>
        <v>860000</v>
      </c>
      <c r="B386">
        <f t="shared" si="295"/>
        <v>860</v>
      </c>
      <c r="C386">
        <f t="shared" si="264"/>
        <v>53.504385488803912</v>
      </c>
      <c r="D386">
        <f t="shared" si="265"/>
        <v>1.5521051817659284</v>
      </c>
      <c r="F386">
        <f t="shared" si="266"/>
        <v>6.8839574273732225E-6</v>
      </c>
      <c r="G386">
        <f t="shared" si="267"/>
        <v>1.0797147354580999E-3</v>
      </c>
      <c r="H386">
        <f t="shared" si="268"/>
        <v>-3.140512935264542</v>
      </c>
      <c r="J386">
        <f t="shared" si="269"/>
        <v>15</v>
      </c>
      <c r="M386">
        <f t="shared" si="270"/>
        <v>3.9226734394765296E-3</v>
      </c>
      <c r="N386">
        <f t="shared" si="271"/>
        <v>-1.5707963250000001</v>
      </c>
      <c r="O386">
        <f t="shared" si="272"/>
        <v>254.83287820104803</v>
      </c>
      <c r="P386">
        <f t="shared" si="273"/>
        <v>1.5668721762945497</v>
      </c>
      <c r="Q386">
        <f t="shared" si="274"/>
        <v>353.0686778096354</v>
      </c>
      <c r="R386">
        <f t="shared" si="275"/>
        <v>1.5679640128575476</v>
      </c>
      <c r="S386">
        <f t="shared" si="276"/>
        <v>3.1140426787059187E-2</v>
      </c>
      <c r="T386">
        <f t="shared" si="277"/>
        <v>-1.5396508648624527</v>
      </c>
      <c r="U386">
        <f t="shared" si="278"/>
        <v>0.99530674219480841</v>
      </c>
      <c r="V386">
        <f t="shared" si="279"/>
        <v>-9.6921963642213713E-2</v>
      </c>
      <c r="X386">
        <f t="shared" si="296"/>
        <v>-24.374057457250771</v>
      </c>
      <c r="Y386">
        <f t="shared" si="280"/>
        <v>-95.16489326304378</v>
      </c>
      <c r="Z386">
        <f t="shared" si="297"/>
        <v>84.83510673695622</v>
      </c>
      <c r="AC386">
        <v>1</v>
      </c>
      <c r="AD386">
        <f t="shared" si="281"/>
        <v>254.83091612328002</v>
      </c>
      <c r="AE386">
        <f t="shared" si="282"/>
        <v>-1.3769888849073401E-3</v>
      </c>
      <c r="AF386">
        <f t="shared" si="283"/>
        <v>1.4162676657318001E-2</v>
      </c>
      <c r="AG386">
        <f t="shared" si="315"/>
        <v>17817.835202446877</v>
      </c>
      <c r="AH386">
        <f t="shared" si="316"/>
        <v>-1802.9756411677938</v>
      </c>
      <c r="AJ386">
        <f t="shared" si="284"/>
        <v>18000</v>
      </c>
      <c r="AK386">
        <f t="shared" si="285"/>
        <v>577746.42815735994</v>
      </c>
      <c r="AL386">
        <v>1</v>
      </c>
      <c r="AM386">
        <f t="shared" si="286"/>
        <v>353.06726165171995</v>
      </c>
      <c r="AN386">
        <f t="shared" si="317"/>
        <v>1636.494905140182</v>
      </c>
      <c r="AO386">
        <f t="shared" si="318"/>
        <v>-46.34670747525</v>
      </c>
      <c r="AQ386">
        <f t="shared" si="287"/>
        <v>3.3802043739168557E-3</v>
      </c>
      <c r="AR386">
        <f t="shared" si="288"/>
        <v>-5.8139515231369918</v>
      </c>
      <c r="AT386">
        <f t="shared" si="313"/>
        <v>-10422.185050661348</v>
      </c>
      <c r="AU386">
        <f t="shared" si="314"/>
        <v>-103598.12454041827</v>
      </c>
      <c r="AV386">
        <f t="shared" si="302"/>
        <v>-1.6710610456541277</v>
      </c>
      <c r="AW386">
        <f t="shared" si="303"/>
        <v>41400.652894920502</v>
      </c>
      <c r="AX386">
        <f t="shared" si="304"/>
        <v>-14248.699314329459</v>
      </c>
      <c r="AY386">
        <f t="shared" si="312"/>
        <v>-0.33146811527122533</v>
      </c>
      <c r="BA386">
        <f t="shared" si="289"/>
        <v>2.3780611344992932</v>
      </c>
      <c r="BB386">
        <f t="shared" si="305"/>
        <v>7.5244603028310788</v>
      </c>
      <c r="BC386">
        <f t="shared" si="306"/>
        <v>-1.3395929303829024</v>
      </c>
      <c r="BD386">
        <f t="shared" si="290"/>
        <v>-256.7530212642057</v>
      </c>
      <c r="BF386">
        <f t="shared" si="291"/>
        <v>-37.629163390291787</v>
      </c>
      <c r="BG386">
        <f t="shared" si="292"/>
        <v>-167.76208178952569</v>
      </c>
      <c r="BH386">
        <f t="shared" si="307"/>
        <v>12.237918210474305</v>
      </c>
      <c r="BI386">
        <f t="shared" si="308"/>
        <v>12.237918210474305</v>
      </c>
      <c r="BJ386">
        <f t="shared" si="293"/>
        <v>0</v>
      </c>
      <c r="BK386">
        <f t="shared" si="309"/>
        <v>0</v>
      </c>
      <c r="BM386">
        <f t="shared" si="310"/>
        <v>-45.153623693122867</v>
      </c>
      <c r="BN386">
        <f t="shared" si="294"/>
        <v>-91.009060525319981</v>
      </c>
      <c r="BQ386" s="66">
        <f t="shared" si="311"/>
        <v>24.426421103116212</v>
      </c>
      <c r="BR386" s="71"/>
      <c r="BS386" s="71"/>
      <c r="BT386" s="71">
        <v>575439.93700000003</v>
      </c>
      <c r="BU386" s="71">
        <v>11.0791</v>
      </c>
      <c r="BV386" s="71">
        <v>119.196</v>
      </c>
      <c r="BY386" s="71"/>
      <c r="BZ386" s="71"/>
      <c r="CA386" s="71"/>
      <c r="CC386" s="71"/>
    </row>
    <row r="387" spans="1:81" x14ac:dyDescent="0.2">
      <c r="A387">
        <f t="shared" si="319"/>
        <v>865000</v>
      </c>
      <c r="B387">
        <f t="shared" si="295"/>
        <v>865</v>
      </c>
      <c r="C387">
        <f t="shared" si="264"/>
        <v>53.815349148285421</v>
      </c>
      <c r="D387">
        <f t="shared" si="265"/>
        <v>1.5522131981226561</v>
      </c>
      <c r="F387">
        <f t="shared" si="266"/>
        <v>6.8046036152945897E-6</v>
      </c>
      <c r="G387">
        <f t="shared" si="267"/>
        <v>1.0734735287225902E-3</v>
      </c>
      <c r="H387">
        <f t="shared" si="268"/>
        <v>-3.1405191764712774</v>
      </c>
      <c r="J387">
        <f t="shared" si="269"/>
        <v>15</v>
      </c>
      <c r="M387">
        <f t="shared" si="270"/>
        <v>3.8999990265315785E-3</v>
      </c>
      <c r="N387">
        <f t="shared" si="271"/>
        <v>-1.5707963250000001</v>
      </c>
      <c r="O387">
        <f t="shared" si="272"/>
        <v>256.31444195338457</v>
      </c>
      <c r="P387">
        <f t="shared" si="273"/>
        <v>1.5668948590145722</v>
      </c>
      <c r="Q387">
        <f t="shared" si="274"/>
        <v>355.12138626129405</v>
      </c>
      <c r="R387">
        <f t="shared" si="275"/>
        <v>1.5679803845276126</v>
      </c>
      <c r="S387">
        <f t="shared" si="276"/>
        <v>3.0960597364087399E-2</v>
      </c>
      <c r="T387">
        <f t="shared" si="277"/>
        <v>-1.5398307810382614</v>
      </c>
      <c r="U387">
        <f t="shared" si="278"/>
        <v>0.99525239993883408</v>
      </c>
      <c r="V387">
        <f t="shared" si="279"/>
        <v>-9.748191054896034E-2</v>
      </c>
      <c r="X387">
        <f t="shared" si="296"/>
        <v>-24.424855581097077</v>
      </c>
      <c r="Y387">
        <f t="shared" si="280"/>
        <v>-95.199215356853642</v>
      </c>
      <c r="Z387">
        <f t="shared" si="297"/>
        <v>84.800784643146358</v>
      </c>
      <c r="AC387">
        <v>1</v>
      </c>
      <c r="AD387">
        <f t="shared" si="281"/>
        <v>256.31249121702007</v>
      </c>
      <c r="AE387">
        <f t="shared" si="282"/>
        <v>-1.3930469286233026E-3</v>
      </c>
      <c r="AF387">
        <f t="shared" si="283"/>
        <v>1.4245017800674499E-2</v>
      </c>
      <c r="AG387">
        <f t="shared" si="315"/>
        <v>17815.88960138215</v>
      </c>
      <c r="AH387">
        <f t="shared" si="316"/>
        <v>-1812.4491419501594</v>
      </c>
      <c r="AJ387">
        <f t="shared" si="284"/>
        <v>18000</v>
      </c>
      <c r="AK387">
        <f t="shared" si="285"/>
        <v>581105.41901873995</v>
      </c>
      <c r="AL387">
        <v>1</v>
      </c>
      <c r="AM387">
        <f t="shared" si="286"/>
        <v>355.11997828923</v>
      </c>
      <c r="AN387">
        <f t="shared" si="317"/>
        <v>1636.493391980076</v>
      </c>
      <c r="AO387">
        <f t="shared" si="318"/>
        <v>-46.078811693023219</v>
      </c>
      <c r="AQ387">
        <f t="shared" si="287"/>
        <v>3.3412398204952318E-3</v>
      </c>
      <c r="AR387">
        <f t="shared" si="288"/>
        <v>-5.7803448894567513</v>
      </c>
      <c r="AT387">
        <f t="shared" si="313"/>
        <v>-10417.053975298193</v>
      </c>
      <c r="AU387">
        <f t="shared" si="314"/>
        <v>-102988.0422357207</v>
      </c>
      <c r="AV387">
        <f t="shared" si="302"/>
        <v>-1.6716016705064789</v>
      </c>
      <c r="AW387">
        <f t="shared" si="303"/>
        <v>41399.33081463183</v>
      </c>
      <c r="AX387">
        <f t="shared" si="304"/>
        <v>-14211.022346191781</v>
      </c>
      <c r="AY387">
        <f t="shared" si="312"/>
        <v>-0.33066401680565582</v>
      </c>
      <c r="BA387">
        <f t="shared" si="289"/>
        <v>2.3649148522513501</v>
      </c>
      <c r="BB387">
        <f t="shared" si="305"/>
        <v>7.4763101753617045</v>
      </c>
      <c r="BC387">
        <f t="shared" si="306"/>
        <v>-1.3409376537008231</v>
      </c>
      <c r="BD387">
        <f t="shared" si="290"/>
        <v>-256.83006823502342</v>
      </c>
      <c r="BF387">
        <f t="shared" si="291"/>
        <v>-37.727684766644188</v>
      </c>
      <c r="BG387">
        <f t="shared" si="292"/>
        <v>-167.83329747378289</v>
      </c>
      <c r="BH387">
        <f t="shared" si="307"/>
        <v>12.166702526217108</v>
      </c>
      <c r="BI387">
        <f t="shared" si="308"/>
        <v>12.166702526217108</v>
      </c>
      <c r="BJ387">
        <f t="shared" si="293"/>
        <v>0</v>
      </c>
      <c r="BK387">
        <f t="shared" si="309"/>
        <v>0</v>
      </c>
      <c r="BM387">
        <f t="shared" si="310"/>
        <v>-45.203994942005892</v>
      </c>
      <c r="BN387">
        <f t="shared" si="294"/>
        <v>-91.003229238759459</v>
      </c>
      <c r="BQ387" s="66">
        <f t="shared" si="311"/>
        <v>24.378270975646842</v>
      </c>
      <c r="BR387" s="71"/>
      <c r="BS387" s="71"/>
      <c r="BT387" s="71">
        <v>588843.65500000003</v>
      </c>
      <c r="BU387" s="71">
        <v>10.8666</v>
      </c>
      <c r="BV387" s="71">
        <v>116.889</v>
      </c>
      <c r="BY387" s="71"/>
      <c r="BZ387" s="71"/>
      <c r="CA387" s="71"/>
      <c r="CC387" s="71"/>
    </row>
    <row r="388" spans="1:81" x14ac:dyDescent="0.2">
      <c r="A388">
        <f t="shared" si="319"/>
        <v>870000</v>
      </c>
      <c r="B388">
        <f t="shared" si="295"/>
        <v>870</v>
      </c>
      <c r="C388">
        <f t="shared" si="264"/>
        <v>54.126313428444639</v>
      </c>
      <c r="D388">
        <f t="shared" si="265"/>
        <v>1.5523199733383162</v>
      </c>
      <c r="F388">
        <f t="shared" si="266"/>
        <v>6.726614048406549E-6</v>
      </c>
      <c r="G388">
        <f t="shared" si="267"/>
        <v>1.0673040613817355E-3</v>
      </c>
      <c r="H388">
        <f t="shared" si="268"/>
        <v>-3.1405253459386184</v>
      </c>
      <c r="J388">
        <f t="shared" si="269"/>
        <v>15</v>
      </c>
      <c r="M388">
        <f t="shared" si="270"/>
        <v>3.8775852390227758E-3</v>
      </c>
      <c r="N388">
        <f t="shared" si="271"/>
        <v>-1.5707963250000001</v>
      </c>
      <c r="O388">
        <f t="shared" si="272"/>
        <v>257.79600583608072</v>
      </c>
      <c r="P388">
        <f t="shared" si="273"/>
        <v>1.5669172810176206</v>
      </c>
      <c r="Q388">
        <f t="shared" si="274"/>
        <v>357.17409480704237</v>
      </c>
      <c r="R388">
        <f t="shared" si="275"/>
        <v>1.5679965680190453</v>
      </c>
      <c r="S388">
        <f t="shared" si="276"/>
        <v>3.0782831990949874E-2</v>
      </c>
      <c r="T388">
        <f t="shared" si="277"/>
        <v>-1.5400086311830123</v>
      </c>
      <c r="U388">
        <f t="shared" si="278"/>
        <v>0.9951977516328705</v>
      </c>
      <c r="V388">
        <f t="shared" si="279"/>
        <v>-9.8041796138997439E-2</v>
      </c>
      <c r="X388">
        <f t="shared" si="296"/>
        <v>-24.475366683034579</v>
      </c>
      <c r="Y388">
        <f t="shared" si="280"/>
        <v>-95.233508284218928</v>
      </c>
      <c r="Z388">
        <f t="shared" si="297"/>
        <v>84.766491715781072</v>
      </c>
      <c r="AC388">
        <v>1</v>
      </c>
      <c r="AD388">
        <f t="shared" si="281"/>
        <v>257.79406631076006</v>
      </c>
      <c r="AE388">
        <f t="shared" si="282"/>
        <v>-1.4091980624477635E-3</v>
      </c>
      <c r="AF388">
        <f t="shared" si="283"/>
        <v>1.4327358944031001E-2</v>
      </c>
      <c r="AG388">
        <f t="shared" si="315"/>
        <v>17813.933150021498</v>
      </c>
      <c r="AH388">
        <f t="shared" si="316"/>
        <v>-1821.9240672028629</v>
      </c>
      <c r="AJ388">
        <f t="shared" si="284"/>
        <v>18000</v>
      </c>
      <c r="AK388">
        <f t="shared" si="285"/>
        <v>584464.40988011996</v>
      </c>
      <c r="AL388">
        <v>1</v>
      </c>
      <c r="AM388">
        <f t="shared" si="286"/>
        <v>357.17269492674001</v>
      </c>
      <c r="AN388">
        <f t="shared" si="317"/>
        <v>1636.4919048336244</v>
      </c>
      <c r="AO388">
        <f t="shared" si="318"/>
        <v>-45.813995099828979</v>
      </c>
      <c r="AQ388">
        <f t="shared" si="287"/>
        <v>3.3029451370903892E-3</v>
      </c>
      <c r="AR388">
        <f t="shared" si="288"/>
        <v>-5.7471245385372773</v>
      </c>
      <c r="AT388">
        <f t="shared" si="313"/>
        <v>-10411.986070102897</v>
      </c>
      <c r="AU388">
        <f t="shared" si="314"/>
        <v>-102384.91004958912</v>
      </c>
      <c r="AV388">
        <f t="shared" si="302"/>
        <v>-1.6721424561307667</v>
      </c>
      <c r="AW388">
        <f t="shared" si="303"/>
        <v>41397.931944517622</v>
      </c>
      <c r="AX388">
        <f t="shared" si="304"/>
        <v>-14174.026456084648</v>
      </c>
      <c r="AY388">
        <f t="shared" si="312"/>
        <v>-0.32987471703089066</v>
      </c>
      <c r="BA388">
        <f t="shared" si="289"/>
        <v>2.3519098497980155</v>
      </c>
      <c r="BB388">
        <f t="shared" si="305"/>
        <v>7.4284134187826112</v>
      </c>
      <c r="BC388">
        <f t="shared" si="306"/>
        <v>-1.3422677390998761</v>
      </c>
      <c r="BD388">
        <f t="shared" si="290"/>
        <v>-256.90627651486824</v>
      </c>
      <c r="BF388">
        <f t="shared" si="291"/>
        <v>-37.825662239234205</v>
      </c>
      <c r="BG388">
        <f t="shared" si="292"/>
        <v>-167.90374146884764</v>
      </c>
      <c r="BH388">
        <f t="shared" si="307"/>
        <v>12.096258531152358</v>
      </c>
      <c r="BI388">
        <f t="shared" si="308"/>
        <v>12.096258531152358</v>
      </c>
      <c r="BJ388">
        <f t="shared" si="293"/>
        <v>0</v>
      </c>
      <c r="BK388">
        <f t="shared" si="309"/>
        <v>0</v>
      </c>
      <c r="BM388">
        <f t="shared" si="310"/>
        <v>-45.254075658016816</v>
      </c>
      <c r="BN388">
        <f t="shared" si="294"/>
        <v>-90.997464953979431</v>
      </c>
      <c r="BQ388" s="66">
        <f t="shared" si="311"/>
        <v>24.33037421906775</v>
      </c>
      <c r="BR388" s="71"/>
      <c r="BS388" s="71"/>
      <c r="BT388" s="71">
        <v>602559.58600000001</v>
      </c>
      <c r="BU388" s="71">
        <v>10.6013</v>
      </c>
      <c r="BV388" s="71">
        <v>117.324</v>
      </c>
      <c r="BY388" s="71"/>
      <c r="BZ388" s="71"/>
      <c r="CA388" s="71"/>
      <c r="CC388" s="71"/>
    </row>
    <row r="389" spans="1:81" x14ac:dyDescent="0.2">
      <c r="A389">
        <f t="shared" si="319"/>
        <v>875000</v>
      </c>
      <c r="B389">
        <f t="shared" si="295"/>
        <v>875</v>
      </c>
      <c r="C389">
        <f t="shared" si="264"/>
        <v>54.437278318645006</v>
      </c>
      <c r="D389">
        <f t="shared" si="265"/>
        <v>1.5524255286799564</v>
      </c>
      <c r="F389">
        <f t="shared" si="266"/>
        <v>6.6499576329069168E-6</v>
      </c>
      <c r="G389">
        <f t="shared" si="267"/>
        <v>1.0612051035859286E-3</v>
      </c>
      <c r="H389">
        <f t="shared" si="268"/>
        <v>-3.1405314448964141</v>
      </c>
      <c r="J389">
        <f t="shared" si="269"/>
        <v>15</v>
      </c>
      <c r="M389">
        <f t="shared" si="270"/>
        <v>3.8554276090855032E-3</v>
      </c>
      <c r="N389">
        <f t="shared" si="271"/>
        <v>-1.5707963250000001</v>
      </c>
      <c r="O389">
        <f t="shared" si="272"/>
        <v>259.27756984690154</v>
      </c>
      <c r="P389">
        <f t="shared" si="273"/>
        <v>1.5669394467730393</v>
      </c>
      <c r="Q389">
        <f t="shared" si="274"/>
        <v>359.22680344526742</v>
      </c>
      <c r="R389">
        <f t="shared" si="275"/>
        <v>1.568012566557732</v>
      </c>
      <c r="S389">
        <f t="shared" si="276"/>
        <v>3.0607095350821581E-2</v>
      </c>
      <c r="T389">
        <f t="shared" si="277"/>
        <v>-1.5401844506697582</v>
      </c>
      <c r="U389">
        <f t="shared" si="278"/>
        <v>0.99514279743010559</v>
      </c>
      <c r="V389">
        <f t="shared" si="279"/>
        <v>-9.8601620071437246E-2</v>
      </c>
      <c r="X389">
        <f t="shared" si="296"/>
        <v>-24.52559407707815</v>
      </c>
      <c r="Y389">
        <f t="shared" si="280"/>
        <v>-95.267772463383722</v>
      </c>
      <c r="Z389">
        <f t="shared" si="297"/>
        <v>84.732227536616278</v>
      </c>
      <c r="AC389">
        <v>1</v>
      </c>
      <c r="AD389">
        <f t="shared" si="281"/>
        <v>259.27564140449999</v>
      </c>
      <c r="AE389">
        <f t="shared" si="282"/>
        <v>-1.4254422863807226E-3</v>
      </c>
      <c r="AF389">
        <f t="shared" si="283"/>
        <v>1.4409700087387499E-2</v>
      </c>
      <c r="AG389">
        <f t="shared" si="315"/>
        <v>17811.965855653631</v>
      </c>
      <c r="AH389">
        <f t="shared" si="316"/>
        <v>-1831.40031882529</v>
      </c>
      <c r="AJ389">
        <f t="shared" si="284"/>
        <v>18000</v>
      </c>
      <c r="AK389">
        <f t="shared" si="285"/>
        <v>587823.40074149997</v>
      </c>
      <c r="AL389">
        <v>1</v>
      </c>
      <c r="AM389">
        <f t="shared" si="286"/>
        <v>359.22541156424995</v>
      </c>
      <c r="AN389">
        <f t="shared" si="317"/>
        <v>1636.490443107939</v>
      </c>
      <c r="AO389">
        <f t="shared" si="318"/>
        <v>-45.552204911220024</v>
      </c>
      <c r="AQ389">
        <f t="shared" si="287"/>
        <v>3.2653050562269203E-3</v>
      </c>
      <c r="AR389">
        <f t="shared" si="288"/>
        <v>-5.7142838483971108</v>
      </c>
      <c r="AT389">
        <f t="shared" si="313"/>
        <v>-10406.979759642867</v>
      </c>
      <c r="AU389">
        <f t="shared" si="314"/>
        <v>-101788.60887788341</v>
      </c>
      <c r="AV389">
        <f t="shared" si="302"/>
        <v>-1.6726833983789586</v>
      </c>
      <c r="AW389">
        <f t="shared" si="303"/>
        <v>41396.457495537783</v>
      </c>
      <c r="AX389">
        <f t="shared" si="304"/>
        <v>-14137.699798779655</v>
      </c>
      <c r="AY389">
        <f t="shared" si="312"/>
        <v>-0.32909997327506346</v>
      </c>
      <c r="BA389">
        <f t="shared" si="289"/>
        <v>2.3390439163252048</v>
      </c>
      <c r="BB389">
        <f t="shared" si="305"/>
        <v>7.3807675181724015</v>
      </c>
      <c r="BC389">
        <f t="shared" si="306"/>
        <v>-1.3435834251038952</v>
      </c>
      <c r="BD389">
        <f t="shared" si="290"/>
        <v>-256.98165977014912</v>
      </c>
      <c r="BF389">
        <f t="shared" si="291"/>
        <v>-37.923101656428109</v>
      </c>
      <c r="BG389">
        <f t="shared" si="292"/>
        <v>-167.9734262930821</v>
      </c>
      <c r="BH389">
        <f t="shared" si="307"/>
        <v>12.026573706917901</v>
      </c>
      <c r="BI389">
        <f t="shared" si="308"/>
        <v>12.026573706917901</v>
      </c>
      <c r="BJ389">
        <f t="shared" si="293"/>
        <v>0</v>
      </c>
      <c r="BK389">
        <f t="shared" si="309"/>
        <v>0</v>
      </c>
      <c r="BM389">
        <f t="shared" si="310"/>
        <v>-45.303869174600507</v>
      </c>
      <c r="BN389">
        <f t="shared" si="294"/>
        <v>-90.991766522932991</v>
      </c>
      <c r="BQ389" s="66">
        <f t="shared" si="311"/>
        <v>24.282728318457536</v>
      </c>
      <c r="BR389" s="71"/>
      <c r="BS389" s="71"/>
      <c r="BT389" s="71">
        <v>616595.00199999998</v>
      </c>
      <c r="BU389" s="71">
        <v>10.4749</v>
      </c>
      <c r="BV389" s="71">
        <v>115.142</v>
      </c>
      <c r="BY389" s="71"/>
      <c r="BZ389" s="71"/>
      <c r="CA389" s="71"/>
      <c r="CC389" s="71"/>
    </row>
    <row r="390" spans="1:81" x14ac:dyDescent="0.2">
      <c r="A390">
        <f t="shared" si="319"/>
        <v>880000</v>
      </c>
      <c r="B390">
        <f t="shared" si="295"/>
        <v>880</v>
      </c>
      <c r="C390">
        <f t="shared" si="264"/>
        <v>54.748243808491573</v>
      </c>
      <c r="D390">
        <f t="shared" si="265"/>
        <v>1.5525298849315543</v>
      </c>
      <c r="F390">
        <f t="shared" si="266"/>
        <v>6.5746041558342102E-6</v>
      </c>
      <c r="G390">
        <f t="shared" si="267"/>
        <v>1.0551754534375742E-3</v>
      </c>
      <c r="H390">
        <f t="shared" si="268"/>
        <v>-3.1405374745465626</v>
      </c>
      <c r="J390">
        <f t="shared" si="269"/>
        <v>15</v>
      </c>
      <c r="M390">
        <f t="shared" si="270"/>
        <v>3.8335217703975169E-3</v>
      </c>
      <c r="N390">
        <f t="shared" si="271"/>
        <v>-1.5707963250000001</v>
      </c>
      <c r="O390">
        <f t="shared" si="272"/>
        <v>260.75913398366322</v>
      </c>
      <c r="P390">
        <f t="shared" si="273"/>
        <v>1.5669613606485995</v>
      </c>
      <c r="Q390">
        <f t="shared" si="274"/>
        <v>361.27951217439295</v>
      </c>
      <c r="R390">
        <f t="shared" si="275"/>
        <v>1.5680283832962436</v>
      </c>
      <c r="S390">
        <f t="shared" si="276"/>
        <v>3.0433352927651237E-2</v>
      </c>
      <c r="T390">
        <f t="shared" si="277"/>
        <v>-1.5403582740688737</v>
      </c>
      <c r="U390">
        <f t="shared" si="278"/>
        <v>0.9950875374845386</v>
      </c>
      <c r="V390">
        <f t="shared" si="279"/>
        <v>-9.9161382005621648E-2</v>
      </c>
      <c r="X390">
        <f t="shared" si="296"/>
        <v>-24.575541020700168</v>
      </c>
      <c r="Y390">
        <f t="shared" si="280"/>
        <v>-95.302008302711968</v>
      </c>
      <c r="Z390">
        <f t="shared" si="297"/>
        <v>84.697991697288032</v>
      </c>
      <c r="AC390">
        <v>1</v>
      </c>
      <c r="AD390">
        <f t="shared" si="281"/>
        <v>260.75721649824004</v>
      </c>
      <c r="AE390">
        <f t="shared" si="282"/>
        <v>-1.4417796004221801E-3</v>
      </c>
      <c r="AF390">
        <f t="shared" si="283"/>
        <v>1.4492041230744001E-2</v>
      </c>
      <c r="AG390">
        <f t="shared" si="315"/>
        <v>17809.987725605235</v>
      </c>
      <c r="AH390">
        <f t="shared" si="316"/>
        <v>-1840.8778005648435</v>
      </c>
      <c r="AJ390">
        <f t="shared" si="284"/>
        <v>18000</v>
      </c>
      <c r="AK390">
        <f t="shared" si="285"/>
        <v>591182.39160287997</v>
      </c>
      <c r="AL390">
        <v>1</v>
      </c>
      <c r="AM390">
        <f t="shared" si="286"/>
        <v>361.27812820176001</v>
      </c>
      <c r="AN390">
        <f t="shared" si="317"/>
        <v>1636.4890062269264</v>
      </c>
      <c r="AO390">
        <f t="shared" si="318"/>
        <v>-45.293389542349153</v>
      </c>
      <c r="AQ390">
        <f t="shared" si="287"/>
        <v>3.2283047429284791E-3</v>
      </c>
      <c r="AR390">
        <f t="shared" si="288"/>
        <v>-5.6818163475541237</v>
      </c>
      <c r="AT390">
        <f t="shared" si="313"/>
        <v>-10402.033513252738</v>
      </c>
      <c r="AU390">
        <f t="shared" si="314"/>
        <v>-101199.02232361682</v>
      </c>
      <c r="AV390">
        <f t="shared" si="302"/>
        <v>-1.6732244931897755</v>
      </c>
      <c r="AW390">
        <f t="shared" si="303"/>
        <v>41394.908644897827</v>
      </c>
      <c r="AX390">
        <f t="shared" si="304"/>
        <v>-14102.030797515792</v>
      </c>
      <c r="AY390">
        <f t="shared" si="312"/>
        <v>-0.32833954804176624</v>
      </c>
      <c r="BA390">
        <f t="shared" si="289"/>
        <v>2.3263148856859757</v>
      </c>
      <c r="BB390">
        <f t="shared" si="305"/>
        <v>7.3333699934041157</v>
      </c>
      <c r="BC390">
        <f t="shared" si="306"/>
        <v>-1.3448849451480092</v>
      </c>
      <c r="BD390">
        <f t="shared" si="290"/>
        <v>-257.05623137571371</v>
      </c>
      <c r="BF390">
        <f t="shared" si="291"/>
        <v>-38.020008774735466</v>
      </c>
      <c r="BG390">
        <f t="shared" si="292"/>
        <v>-168.04236419936339</v>
      </c>
      <c r="BH390">
        <f t="shared" si="307"/>
        <v>11.957635800636609</v>
      </c>
      <c r="BI390">
        <f t="shared" si="308"/>
        <v>11.957635800636609</v>
      </c>
      <c r="BJ390">
        <f t="shared" si="293"/>
        <v>0</v>
      </c>
      <c r="BK390">
        <f t="shared" si="309"/>
        <v>0</v>
      </c>
      <c r="BM390">
        <f t="shared" si="310"/>
        <v>-45.353378768139578</v>
      </c>
      <c r="BN390">
        <f t="shared" si="294"/>
        <v>-90.98613282364964</v>
      </c>
      <c r="BQ390" s="66">
        <f t="shared" si="311"/>
        <v>24.235330793689251</v>
      </c>
      <c r="BR390" s="71"/>
      <c r="BS390" s="71"/>
      <c r="BT390" s="71">
        <v>630957.34400000004</v>
      </c>
      <c r="BU390" s="71">
        <v>10.283799999999999</v>
      </c>
      <c r="BV390" s="71">
        <v>115.247</v>
      </c>
      <c r="BY390" s="71"/>
      <c r="BZ390" s="71"/>
      <c r="CA390" s="71"/>
      <c r="CC390" s="71"/>
    </row>
    <row r="391" spans="1:81" x14ac:dyDescent="0.2">
      <c r="A391">
        <f t="shared" si="319"/>
        <v>885000</v>
      </c>
      <c r="B391">
        <f t="shared" si="295"/>
        <v>885</v>
      </c>
      <c r="C391">
        <f t="shared" si="264"/>
        <v>55.059209887824231</v>
      </c>
      <c r="D391">
        <f t="shared" si="265"/>
        <v>1.5526330624076545</v>
      </c>
      <c r="F391">
        <f t="shared" si="266"/>
        <v>6.5005242552929026E-6</v>
      </c>
      <c r="G391">
        <f t="shared" si="267"/>
        <v>1.0492139362014538E-3</v>
      </c>
      <c r="H391">
        <f t="shared" si="268"/>
        <v>-3.1405434360637989</v>
      </c>
      <c r="J391">
        <f t="shared" si="269"/>
        <v>15</v>
      </c>
      <c r="M391">
        <f t="shared" si="270"/>
        <v>3.8118634553105258E-3</v>
      </c>
      <c r="N391">
        <f t="shared" si="271"/>
        <v>-1.5707963250000001</v>
      </c>
      <c r="O391">
        <f t="shared" si="272"/>
        <v>262.24069824423123</v>
      </c>
      <c r="P391">
        <f t="shared" si="273"/>
        <v>1.5669830269133678</v>
      </c>
      <c r="Q391">
        <f t="shared" si="274"/>
        <v>363.33222099287821</v>
      </c>
      <c r="R391">
        <f t="shared" si="275"/>
        <v>1.5680440213159075</v>
      </c>
      <c r="S391">
        <f t="shared" si="276"/>
        <v>3.02615709836037E-2</v>
      </c>
      <c r="T391">
        <f t="shared" si="277"/>
        <v>-1.5405301351706888</v>
      </c>
      <c r="U391">
        <f t="shared" si="278"/>
        <v>0.99503197195098059</v>
      </c>
      <c r="V391">
        <f t="shared" si="279"/>
        <v>-9.9721081601123418E-2</v>
      </c>
      <c r="X391">
        <f t="shared" si="296"/>
        <v>-24.625210716108246</v>
      </c>
      <c r="Y391">
        <f t="shared" si="280"/>
        <v>-95.336216200965012</v>
      </c>
      <c r="Z391">
        <f t="shared" si="297"/>
        <v>84.663783799034988</v>
      </c>
      <c r="AC391">
        <v>1</v>
      </c>
      <c r="AD391">
        <f t="shared" si="281"/>
        <v>262.23879159198003</v>
      </c>
      <c r="AE391">
        <f t="shared" si="282"/>
        <v>-1.4582100045721358E-3</v>
      </c>
      <c r="AF391">
        <f t="shared" si="283"/>
        <v>1.4574382374100501E-2</v>
      </c>
      <c r="AG391">
        <f t="shared" si="315"/>
        <v>17807.998767240857</v>
      </c>
      <c r="AH391">
        <f t="shared" si="316"/>
        <v>-1850.3564179654147</v>
      </c>
      <c r="AJ391">
        <f t="shared" si="284"/>
        <v>18000</v>
      </c>
      <c r="AK391">
        <f t="shared" si="285"/>
        <v>594541.38246425998</v>
      </c>
      <c r="AL391">
        <v>1</v>
      </c>
      <c r="AM391">
        <f t="shared" si="286"/>
        <v>363.33084483927001</v>
      </c>
      <c r="AN391">
        <f t="shared" si="317"/>
        <v>1636.4875936307217</v>
      </c>
      <c r="AO391">
        <f t="shared" si="318"/>
        <v>-45.037498574083777</v>
      </c>
      <c r="AQ391">
        <f t="shared" si="287"/>
        <v>3.1919297800983818E-3</v>
      </c>
      <c r="AR391">
        <f t="shared" si="288"/>
        <v>-5.6497157107741351</v>
      </c>
      <c r="AT391">
        <f t="shared" si="313"/>
        <v>-10397.145843521845</v>
      </c>
      <c r="AU391">
        <f t="shared" si="314"/>
        <v>-100616.03662048141</v>
      </c>
      <c r="AV391">
        <f t="shared" si="302"/>
        <v>-1.6737657365862479</v>
      </c>
      <c r="AW391">
        <f t="shared" si="303"/>
        <v>41393.286537192442</v>
      </c>
      <c r="AX391">
        <f t="shared" si="304"/>
        <v>-14067.008136413273</v>
      </c>
      <c r="AY391">
        <f t="shared" si="312"/>
        <v>-0.32759320887438603</v>
      </c>
      <c r="BA391">
        <f t="shared" si="289"/>
        <v>2.3137206353127233</v>
      </c>
      <c r="BB391">
        <f t="shared" si="305"/>
        <v>7.2862183985681126</v>
      </c>
      <c r="BC391">
        <f t="shared" si="306"/>
        <v>-1.3461725277118619</v>
      </c>
      <c r="BD391">
        <f t="shared" si="290"/>
        <v>-257.13000442248142</v>
      </c>
      <c r="BF391">
        <f t="shared" si="291"/>
        <v>-38.116389260681686</v>
      </c>
      <c r="BG391">
        <f t="shared" si="292"/>
        <v>-168.11056718198046</v>
      </c>
      <c r="BH391">
        <f t="shared" si="307"/>
        <v>11.889432818019543</v>
      </c>
      <c r="BI391">
        <f t="shared" si="308"/>
        <v>11.889432818019543</v>
      </c>
      <c r="BJ391">
        <f t="shared" si="293"/>
        <v>0</v>
      </c>
      <c r="BK391">
        <f t="shared" si="309"/>
        <v>0</v>
      </c>
      <c r="BM391">
        <f t="shared" si="310"/>
        <v>-45.402607659249803</v>
      </c>
      <c r="BN391">
        <f t="shared" si="294"/>
        <v>-90.980562759499065</v>
      </c>
      <c r="BQ391" s="66">
        <f t="shared" si="311"/>
        <v>24.188179198853248</v>
      </c>
      <c r="BR391" s="71"/>
      <c r="BS391" s="71"/>
      <c r="BT391" s="71">
        <v>645654.22900000005</v>
      </c>
      <c r="BU391" s="71">
        <v>9.9821899999999992</v>
      </c>
      <c r="BV391" s="71">
        <v>113.164</v>
      </c>
      <c r="BY391" s="71"/>
      <c r="BZ391" s="71"/>
      <c r="CA391" s="71"/>
      <c r="CC391" s="71"/>
    </row>
    <row r="392" spans="1:81" x14ac:dyDescent="0.2">
      <c r="A392">
        <f t="shared" si="319"/>
        <v>890000</v>
      </c>
      <c r="B392">
        <f t="shared" si="295"/>
        <v>890</v>
      </c>
      <c r="C392">
        <f t="shared" si="264"/>
        <v>55.3701765467111</v>
      </c>
      <c r="D392">
        <f t="shared" si="265"/>
        <v>1.5527350809665457</v>
      </c>
      <c r="F392">
        <f t="shared" si="266"/>
        <v>6.4276893918462796E-6</v>
      </c>
      <c r="G392">
        <f t="shared" si="267"/>
        <v>1.0433194035417113E-3</v>
      </c>
      <c r="H392">
        <f t="shared" si="268"/>
        <v>-3.1405493305964587</v>
      </c>
      <c r="J392">
        <f t="shared" si="269"/>
        <v>15</v>
      </c>
      <c r="M392">
        <f t="shared" si="270"/>
        <v>3.790448492078444E-3</v>
      </c>
      <c r="N392">
        <f t="shared" si="271"/>
        <v>-1.5707963250000001</v>
      </c>
      <c r="O392">
        <f t="shared" si="272"/>
        <v>263.72226262651895</v>
      </c>
      <c r="P392">
        <f t="shared" si="273"/>
        <v>1.5670044497404789</v>
      </c>
      <c r="Q392">
        <f t="shared" si="274"/>
        <v>365.38492989921724</v>
      </c>
      <c r="R392">
        <f t="shared" si="275"/>
        <v>1.5680594836288086</v>
      </c>
      <c r="S392">
        <f t="shared" si="276"/>
        <v>3.0091716537260321E-2</v>
      </c>
      <c r="T392">
        <f t="shared" si="277"/>
        <v>-1.5407000670073594</v>
      </c>
      <c r="U392">
        <f t="shared" si="278"/>
        <v>0.99497610098505129</v>
      </c>
      <c r="V392">
        <f t="shared" si="279"/>
        <v>-0.10028071851774736</v>
      </c>
      <c r="X392">
        <f t="shared" si="296"/>
        <v>-24.674606311487114</v>
      </c>
      <c r="Y392">
        <f t="shared" si="280"/>
        <v>-95.370396547570152</v>
      </c>
      <c r="Z392">
        <f t="shared" si="297"/>
        <v>84.629603452429848</v>
      </c>
      <c r="AC392">
        <v>1</v>
      </c>
      <c r="AD392">
        <f t="shared" si="281"/>
        <v>263.72036668572002</v>
      </c>
      <c r="AE392">
        <f t="shared" si="282"/>
        <v>-1.4747334988305899E-3</v>
      </c>
      <c r="AF392">
        <f t="shared" si="283"/>
        <v>1.4656723517457001E-2</v>
      </c>
      <c r="AG392">
        <f t="shared" si="315"/>
        <v>17805.998987962896</v>
      </c>
      <c r="AH392">
        <f t="shared" si="316"/>
        <v>-1859.8360783175933</v>
      </c>
      <c r="AJ392">
        <f t="shared" si="284"/>
        <v>18000</v>
      </c>
      <c r="AK392">
        <f t="shared" si="285"/>
        <v>597900.37332563999</v>
      </c>
      <c r="AL392">
        <v>1</v>
      </c>
      <c r="AM392">
        <f t="shared" si="286"/>
        <v>365.38356147677996</v>
      </c>
      <c r="AN392">
        <f t="shared" si="317"/>
        <v>1636.4862047751417</v>
      </c>
      <c r="AO392">
        <f t="shared" si="318"/>
        <v>-44.784482720262595</v>
      </c>
      <c r="AQ392">
        <f t="shared" si="287"/>
        <v>3.1561661544735027E-3</v>
      </c>
      <c r="AR392">
        <f t="shared" si="288"/>
        <v>-5.6179757549628349</v>
      </c>
      <c r="AT392">
        <f t="shared" si="313"/>
        <v>-10392.315304841002</v>
      </c>
      <c r="AU392">
        <f t="shared" si="314"/>
        <v>-100039.54055895157</v>
      </c>
      <c r="AV392">
        <f t="shared" si="302"/>
        <v>-1.6743071246733567</v>
      </c>
      <c r="AW392">
        <f t="shared" si="303"/>
        <v>41391.592285504397</v>
      </c>
      <c r="AX392">
        <f t="shared" si="304"/>
        <v>-14032.620753143246</v>
      </c>
      <c r="AY392">
        <f t="shared" si="312"/>
        <v>-0.32686072822462875</v>
      </c>
      <c r="BA392">
        <f t="shared" si="289"/>
        <v>2.3012590851598116</v>
      </c>
      <c r="BB392">
        <f t="shared" si="305"/>
        <v>7.2393103214047896</v>
      </c>
      <c r="BC392">
        <f t="shared" si="306"/>
        <v>-1.347446396448728</v>
      </c>
      <c r="BD392">
        <f t="shared" si="290"/>
        <v>-257.2029917248409</v>
      </c>
      <c r="BF392">
        <f t="shared" si="291"/>
        <v>-38.212248692634262</v>
      </c>
      <c r="BG392">
        <f t="shared" si="292"/>
        <v>-168.1780469833208</v>
      </c>
      <c r="BH392">
        <f t="shared" si="307"/>
        <v>11.821953016679203</v>
      </c>
      <c r="BI392">
        <f t="shared" si="308"/>
        <v>11.821953016679203</v>
      </c>
      <c r="BJ392">
        <f t="shared" si="293"/>
        <v>0</v>
      </c>
      <c r="BK392">
        <f t="shared" si="309"/>
        <v>0</v>
      </c>
      <c r="BM392">
        <f t="shared" si="310"/>
        <v>-45.451559014039049</v>
      </c>
      <c r="BN392">
        <f t="shared" si="294"/>
        <v>-90.975055258479898</v>
      </c>
      <c r="BQ392" s="66">
        <f t="shared" si="311"/>
        <v>24.141271121689925</v>
      </c>
      <c r="BR392" s="71"/>
      <c r="BS392" s="71"/>
      <c r="BT392" s="71">
        <v>660693.44799999997</v>
      </c>
      <c r="BU392" s="71">
        <v>9.7520900000000008</v>
      </c>
      <c r="BV392" s="71">
        <v>112.872</v>
      </c>
      <c r="BY392" s="71"/>
      <c r="BZ392" s="71"/>
      <c r="CA392" s="71"/>
      <c r="CC392" s="71"/>
    </row>
    <row r="393" spans="1:81" x14ac:dyDescent="0.2">
      <c r="A393">
        <f t="shared" si="319"/>
        <v>895000</v>
      </c>
      <c r="B393">
        <f t="shared" si="295"/>
        <v>895</v>
      </c>
      <c r="C393">
        <f t="shared" ref="C393:C456" si="320">SQRT((A393/Fesr)^2+1)</f>
        <v>55.681143775442131</v>
      </c>
      <c r="D393">
        <f t="shared" ref="D393:D456" si="321">ATAN(A393/Fesr)</f>
        <v>1.5528359600229977</v>
      </c>
      <c r="F393">
        <f t="shared" ref="F393:F456" si="322">(Ro/(Ro+Rdcr))/SQRT((A393/(Q*Fo))^2+(1-(A393^2/Fo^2))^2)</f>
        <v>6.3560718210249157E-6</v>
      </c>
      <c r="G393">
        <f t="shared" ref="G393:G456" si="323">-ATAN(A393*Fo/(Q*(Fo^2-A393^2)))</f>
        <v>1.0374907327844116E-3</v>
      </c>
      <c r="H393">
        <f t="shared" ref="H393:H456" si="324">IF(G393&gt;0,G393-Pi,G393)</f>
        <v>-3.1405551592672158</v>
      </c>
      <c r="J393">
        <f t="shared" ref="J393:J456" si="325">Vin/Vramp</f>
        <v>15</v>
      </c>
      <c r="M393">
        <f t="shared" ref="M393:M456" si="326">1/(2*Pi*_Rfb1*(Cc1ea_u+Cc2ea_u)*A393)</f>
        <v>3.7692728021785651E-3</v>
      </c>
      <c r="N393">
        <f t="shared" ref="N393:N456" si="327">-Pi/2</f>
        <v>-1.5707963250000001</v>
      </c>
      <c r="O393">
        <f t="shared" ref="O393:O456" si="328">SQRT(1+(A393/Fz1_u)^2)</f>
        <v>265.20382712848641</v>
      </c>
      <c r="P393">
        <f t="shared" ref="P393:P456" si="329">ATAN2(Fz1_u,A393)</f>
        <v>1.5670256332098158</v>
      </c>
      <c r="Q393">
        <f t="shared" ref="Q393:Q456" si="330">SQRT(1+(A393/Fz2_u)^2)</f>
        <v>367.43763889193752</v>
      </c>
      <c r="R393">
        <f t="shared" ref="R393:R456" si="331">ATAN2(Fz2_u,A393)</f>
        <v>1.5680747731797242</v>
      </c>
      <c r="S393">
        <f t="shared" ref="S393:S456" si="332">1/SQRT(1+(A393/Fp1_u)^2)</f>
        <v>2.9923757342547604E-2</v>
      </c>
      <c r="T393">
        <f t="shared" ref="T393:T456" si="333">-ATAN2(Fp1_u,A393)</f>
        <v>-1.5408681018740062</v>
      </c>
      <c r="U393">
        <f t="shared" ref="U393:U456" si="334">1/SQRT(1+(A393/Fp2_u)^2)</f>
        <v>0.9949199247431797</v>
      </c>
      <c r="V393">
        <f t="shared" ref="V393:V456" si="335">-ATAN2(Fp2_u,A393)</f>
        <v>-0.10084029241553148</v>
      </c>
      <c r="X393">
        <f t="shared" si="296"/>
        <v>-24.723730902205801</v>
      </c>
      <c r="Y393">
        <f t="shared" ref="Y393:Y456" si="336">(180/Pi)*(D393+H393+N393+P393+R393+T393+V393)</f>
        <v>-95.404549722879835</v>
      </c>
      <c r="Z393">
        <f t="shared" si="297"/>
        <v>84.595450277120165</v>
      </c>
      <c r="AC393">
        <v>1</v>
      </c>
      <c r="AD393">
        <f t="shared" ref="AD393:AD456" si="337">Rcea1_u*Cc1ea_u*A393*2*Pi</f>
        <v>265.20194177946007</v>
      </c>
      <c r="AE393">
        <f t="shared" ref="AE393:AE456" si="338">-Rcea1_u*Cc1ea_u*Cc2ea_u*(A393*2*Pi)^2</f>
        <v>-1.4913500831975424E-3</v>
      </c>
      <c r="AF393">
        <f t="shared" ref="AF393:AF456" si="339">(Cc2ea_u+Cc1ea_u)*A393*2*Pi</f>
        <v>1.4739064660813501E-2</v>
      </c>
      <c r="AG393">
        <f t="shared" si="315"/>
        <v>17803.988395211501</v>
      </c>
      <c r="AH393">
        <f t="shared" si="316"/>
        <v>-1869.3166906105464</v>
      </c>
      <c r="AJ393">
        <f t="shared" ref="AJ393:AJ456" si="340">_Rfb1</f>
        <v>18000</v>
      </c>
      <c r="AK393">
        <f t="shared" ref="AK393:AK456" si="341">_Rfb1*Rcea2_u*Cc3ea_u*A393*2*Pi</f>
        <v>601259.36418701999</v>
      </c>
      <c r="AL393">
        <v>1</v>
      </c>
      <c r="AM393">
        <f t="shared" ref="AM393:AM456" si="342">(_Rfb1+Rcea2_u)*Cc3ea_u*A393*2*Pi</f>
        <v>367.43627811429002</v>
      </c>
      <c r="AN393">
        <f t="shared" si="317"/>
        <v>1636.48483913116</v>
      </c>
      <c r="AO393">
        <f t="shared" si="318"/>
        <v>-44.534293796049759</v>
      </c>
      <c r="AQ393">
        <f t="shared" ref="AQ393:AQ456" si="343">Eadcg/(1+(Eadcg*A393/GBP)^2)</f>
        <v>3.1210002431259188E-3</v>
      </c>
      <c r="AR393">
        <f t="shared" ref="AR393:AR456" si="344">-(A393*Eadcg*Eadcg/GBP)/(1+(Eadcg*A393/GBP)^2)</f>
        <v>-5.5865904351953946</v>
      </c>
      <c r="AT393">
        <f t="shared" si="313"/>
        <v>-10387.540492005921</v>
      </c>
      <c r="AU393">
        <f t="shared" si="314"/>
        <v>-99469.42541486425</v>
      </c>
      <c r="AV393">
        <f t="shared" si="302"/>
        <v>-1.674848653635751</v>
      </c>
      <c r="AW393">
        <f t="shared" si="303"/>
        <v>41389.826972460476</v>
      </c>
      <c r="AX393">
        <f t="shared" si="304"/>
        <v>-13998.85783184333</v>
      </c>
      <c r="AY393">
        <f t="shared" si="312"/>
        <v>-0.32614188332508542</v>
      </c>
      <c r="BA393">
        <f t="shared" ref="BA393:BA456" si="345">SQRT(AT393^2+AU393^2)/SQRT(AW393^2+AX393^2)</f>
        <v>2.2889281966757085</v>
      </c>
      <c r="BB393">
        <f t="shared" si="305"/>
        <v>7.1926433827470193</v>
      </c>
      <c r="BC393">
        <f t="shared" si="306"/>
        <v>-1.3487067703106654</v>
      </c>
      <c r="BD393">
        <f t="shared" ref="BD393:BD456" si="346">BC393*180/Pi-180</f>
        <v>-257.27520582782103</v>
      </c>
      <c r="BF393">
        <f t="shared" ref="BF393:BF456" si="347">20*LOG(BA393*J393*F393*C393)</f>
        <v>-38.307592562583785</v>
      </c>
      <c r="BG393">
        <f t="shared" ref="BG393:BG456" si="348">(180/Pi)*(D393+H393+BC393)</f>
        <v>-168.24481510035329</v>
      </c>
      <c r="BH393">
        <f t="shared" si="307"/>
        <v>11.755184899646707</v>
      </c>
      <c r="BI393">
        <f t="shared" si="308"/>
        <v>11.755184899646707</v>
      </c>
      <c r="BJ393">
        <f t="shared" ref="BJ393:BJ456" si="349">SUM((BF394&lt;0)*(BF393&gt;0))*A393</f>
        <v>0</v>
      </c>
      <c r="BK393">
        <f t="shared" si="309"/>
        <v>0</v>
      </c>
      <c r="BM393">
        <f t="shared" si="310"/>
        <v>-45.500235945330807</v>
      </c>
      <c r="BN393">
        <f t="shared" ref="BN393:BN456" si="350">(H393+D393)*180/Pi</f>
        <v>-90.969609272532267</v>
      </c>
      <c r="BQ393" s="66">
        <f t="shared" si="311"/>
        <v>24.094604183032157</v>
      </c>
      <c r="BR393" s="71"/>
      <c r="BS393" s="71"/>
      <c r="BT393" s="71">
        <v>676082.97499999998</v>
      </c>
      <c r="BU393" s="71">
        <v>9.5117999999999991</v>
      </c>
      <c r="BV393" s="71">
        <v>110.592</v>
      </c>
      <c r="BY393" s="71"/>
      <c r="BZ393" s="71"/>
      <c r="CA393" s="71"/>
      <c r="CC393" s="71"/>
    </row>
    <row r="394" spans="1:81" x14ac:dyDescent="0.2">
      <c r="A394">
        <f t="shared" si="319"/>
        <v>900000</v>
      </c>
      <c r="B394">
        <f t="shared" ref="B394:B457" si="351">A394/1000</f>
        <v>900</v>
      </c>
      <c r="C394">
        <f t="shared" si="320"/>
        <v>55.992111564522979</v>
      </c>
      <c r="D394">
        <f t="shared" si="321"/>
        <v>1.5529357185605723</v>
      </c>
      <c r="F394">
        <f t="shared" si="322"/>
        <v>6.2856445669012842E-6</v>
      </c>
      <c r="G394">
        <f t="shared" si="323"/>
        <v>1.031726826204684E-3</v>
      </c>
      <c r="H394">
        <f t="shared" si="324"/>
        <v>-3.1405609231737954</v>
      </c>
      <c r="J394">
        <f t="shared" si="325"/>
        <v>15</v>
      </c>
      <c r="M394">
        <f t="shared" si="326"/>
        <v>3.7483323977220168E-3</v>
      </c>
      <c r="N394">
        <f t="shared" si="327"/>
        <v>-1.5707963250000001</v>
      </c>
      <c r="O394">
        <f t="shared" si="328"/>
        <v>266.68539174813895</v>
      </c>
      <c r="P394">
        <f t="shared" si="329"/>
        <v>1.5670465813105992</v>
      </c>
      <c r="Q394">
        <f t="shared" si="330"/>
        <v>369.4903479695995</v>
      </c>
      <c r="R394">
        <f t="shared" si="331"/>
        <v>1.5680898928479921</v>
      </c>
      <c r="S394">
        <f t="shared" si="332"/>
        <v>2.9757661868366096E-2</v>
      </c>
      <c r="T394">
        <f t="shared" si="333"/>
        <v>-1.5410342713491527</v>
      </c>
      <c r="U394">
        <f t="shared" si="334"/>
        <v>0.9948634433826018</v>
      </c>
      <c r="V394">
        <f t="shared" si="335"/>
        <v>-0.10139980295474828</v>
      </c>
      <c r="X394">
        <f t="shared" ref="X394:X457" si="352">20*LOG(C394*J394*O394*Q394*F394*M394*S394*U394)</f>
        <v>-24.772587531991334</v>
      </c>
      <c r="Y394">
        <f t="shared" si="336"/>
        <v>-95.438676098422846</v>
      </c>
      <c r="Z394">
        <f t="shared" ref="Z394:Z457" si="353">Y394+180</f>
        <v>84.561323901577154</v>
      </c>
      <c r="AC394">
        <v>1</v>
      </c>
      <c r="AD394">
        <f t="shared" si="337"/>
        <v>266.68351687320006</v>
      </c>
      <c r="AE394">
        <f t="shared" si="338"/>
        <v>-1.5080597576729931E-3</v>
      </c>
      <c r="AF394">
        <f t="shared" si="339"/>
        <v>1.4821405804170002E-2</v>
      </c>
      <c r="AG394">
        <f t="shared" si="315"/>
        <v>17801.966996464485</v>
      </c>
      <c r="AH394">
        <f t="shared" si="316"/>
        <v>-1878.7981654855075</v>
      </c>
      <c r="AJ394">
        <f t="shared" si="340"/>
        <v>18000</v>
      </c>
      <c r="AK394">
        <f t="shared" si="341"/>
        <v>604618.3550484</v>
      </c>
      <c r="AL394">
        <v>1</v>
      </c>
      <c r="AM394">
        <f t="shared" si="342"/>
        <v>369.48899475180002</v>
      </c>
      <c r="AN394">
        <f t="shared" si="317"/>
        <v>1636.483496184406</v>
      </c>
      <c r="AO394">
        <f t="shared" si="318"/>
        <v>-44.286884687343928</v>
      </c>
      <c r="AQ394">
        <f t="shared" si="343"/>
        <v>3.0864188004880245E-3</v>
      </c>
      <c r="AR394">
        <f t="shared" si="344"/>
        <v>-5.5555538408784439</v>
      </c>
      <c r="AT394">
        <f t="shared" si="313"/>
        <v>-10382.82003887483</v>
      </c>
      <c r="AU394">
        <f t="shared" si="314"/>
        <v>-98905.584880379844</v>
      </c>
      <c r="AV394">
        <f t="shared" ref="AV394:AV457" si="354">ATAN2(AT394,AU394)</f>
        <v>-1.6753903197355426</v>
      </c>
      <c r="AW394">
        <f t="shared" ref="AW394:AW457" si="355">AG394-AH394*AO394/_Rfb2+AG394*AN394/_Rfb2+AN394-AO394*AR394+AQ394*AN394</f>
        <v>41387.991651246462</v>
      </c>
      <c r="AX394">
        <f t="shared" ref="AX394:AX457" si="356">AH394+AH394*AN394/_Rfb2+AG394*AO394/_Rfb2+AO394+AO394*AQ394+AN394*AR394</f>
        <v>-13965.708796269486</v>
      </c>
      <c r="AY394">
        <f t="shared" si="312"/>
        <v>-0.32543645606569771</v>
      </c>
      <c r="BA394">
        <f t="shared" si="345"/>
        <v>2.2767259718037209</v>
      </c>
      <c r="BB394">
        <f t="shared" ref="BB394:BB457" si="357">20*LOG(BA394)</f>
        <v>7.146215235972261</v>
      </c>
      <c r="BC394">
        <f t="shared" ref="BC394:BC457" si="358">AV394-AY394</f>
        <v>-1.3499538636698449</v>
      </c>
      <c r="BD394">
        <f t="shared" si="346"/>
        <v>-257.34665901404247</v>
      </c>
      <c r="BF394">
        <f t="shared" si="347"/>
        <v>-38.402426277881304</v>
      </c>
      <c r="BG394">
        <f t="shared" si="348"/>
        <v>-168.31088279091568</v>
      </c>
      <c r="BH394">
        <f t="shared" ref="BH394:BH457" si="359">IF(BG394&gt;180,BG394-180,BG394+180)</f>
        <v>11.689117209084316</v>
      </c>
      <c r="BI394">
        <f t="shared" ref="BI394:BI457" si="360">IF(BH394&gt;180,BH394-360,BH394)</f>
        <v>11.689117209084316</v>
      </c>
      <c r="BJ394">
        <f t="shared" si="349"/>
        <v>0</v>
      </c>
      <c r="BK394">
        <f t="shared" ref="BK394:BK457" si="361">IF(BJ394&gt;0,BI394,0)</f>
        <v>0</v>
      </c>
      <c r="BM394">
        <f t="shared" ref="BM394:BM457" si="362">20*LOG(J394*F394*C394)</f>
        <v>-45.548641513853561</v>
      </c>
      <c r="BN394">
        <f t="shared" si="350"/>
        <v>-90.964223776873212</v>
      </c>
      <c r="BQ394" s="66">
        <f t="shared" ref="BQ394:BQ457" si="363">20*LOG(BA394*7)</f>
        <v>24.048176036257395</v>
      </c>
      <c r="BR394" s="71"/>
      <c r="BS394" s="71"/>
      <c r="BT394" s="71">
        <v>691830.97100000002</v>
      </c>
      <c r="BU394" s="71">
        <v>9.28308</v>
      </c>
      <c r="BV394" s="71">
        <v>111.01300000000001</v>
      </c>
      <c r="BY394" s="71"/>
      <c r="BZ394" s="71"/>
      <c r="CA394" s="71"/>
      <c r="CC394" s="71"/>
    </row>
    <row r="395" spans="1:81" x14ac:dyDescent="0.2">
      <c r="A395">
        <f t="shared" si="319"/>
        <v>905000</v>
      </c>
      <c r="B395">
        <f t="shared" si="351"/>
        <v>905</v>
      </c>
      <c r="C395">
        <f t="shared" si="320"/>
        <v>56.30307990466904</v>
      </c>
      <c r="D395">
        <f t="shared" si="321"/>
        <v>1.5530343751435289</v>
      </c>
      <c r="F395">
        <f t="shared" si="322"/>
        <v>6.2163813966835295E-6</v>
      </c>
      <c r="G395">
        <f t="shared" si="323"/>
        <v>1.0260266103374973E-3</v>
      </c>
      <c r="H395">
        <f t="shared" si="324"/>
        <v>-3.1405666233896627</v>
      </c>
      <c r="J395">
        <f t="shared" si="325"/>
        <v>15</v>
      </c>
      <c r="M395">
        <f t="shared" si="326"/>
        <v>3.7276233789500716E-3</v>
      </c>
      <c r="N395">
        <f t="shared" si="327"/>
        <v>-1.5707963250000001</v>
      </c>
      <c r="O395">
        <f t="shared" si="328"/>
        <v>268.16695648352618</v>
      </c>
      <c r="P395">
        <f t="shared" si="329"/>
        <v>1.5670672979438922</v>
      </c>
      <c r="Q395">
        <f t="shared" si="330"/>
        <v>371.54305713079521</v>
      </c>
      <c r="R395">
        <f t="shared" si="331"/>
        <v>1.5681048454493192</v>
      </c>
      <c r="S395">
        <f t="shared" si="332"/>
        <v>2.9593399278892381E-2</v>
      </c>
      <c r="T395">
        <f t="shared" si="333"/>
        <v>-1.5411986063144842</v>
      </c>
      <c r="U395">
        <f t="shared" si="334"/>
        <v>0.99480665706135962</v>
      </c>
      <c r="V395">
        <f t="shared" si="335"/>
        <v>-0.1019592497959058</v>
      </c>
      <c r="X395">
        <f t="shared" si="352"/>
        <v>-24.821179194069988</v>
      </c>
      <c r="Y395">
        <f t="shared" si="336"/>
        <v>-95.47277603714673</v>
      </c>
      <c r="Z395">
        <f t="shared" si="353"/>
        <v>84.52722396285327</v>
      </c>
      <c r="AC395">
        <v>1</v>
      </c>
      <c r="AD395">
        <f t="shared" si="337"/>
        <v>268.16509196694</v>
      </c>
      <c r="AE395">
        <f t="shared" si="338"/>
        <v>-1.5248625222569422E-3</v>
      </c>
      <c r="AF395">
        <f t="shared" si="339"/>
        <v>1.4903746947526501E-2</v>
      </c>
      <c r="AG395">
        <f t="shared" si="315"/>
        <v>17799.934799237304</v>
      </c>
      <c r="AH395">
        <f t="shared" si="316"/>
        <v>-1888.2804151908108</v>
      </c>
      <c r="AJ395">
        <f t="shared" si="340"/>
        <v>18000</v>
      </c>
      <c r="AK395">
        <f t="shared" si="341"/>
        <v>607977.34590978001</v>
      </c>
      <c r="AL395">
        <v>1</v>
      </c>
      <c r="AM395">
        <f t="shared" si="342"/>
        <v>371.54171138930997</v>
      </c>
      <c r="AN395">
        <f t="shared" si="317"/>
        <v>1636.4821754346779</v>
      </c>
      <c r="AO395">
        <f t="shared" si="318"/>
        <v>-44.04220932120122</v>
      </c>
      <c r="AQ395">
        <f t="shared" si="343"/>
        <v>3.0524089458780421E-3</v>
      </c>
      <c r="AR395">
        <f t="shared" si="344"/>
        <v>-5.5248601920392568</v>
      </c>
      <c r="AT395">
        <f t="shared" si="313"/>
        <v>-10378.152617077832</v>
      </c>
      <c r="AU395">
        <f t="shared" si="314"/>
        <v>-98347.914997232117</v>
      </c>
      <c r="AV395">
        <f t="shared" si="354"/>
        <v>-1.6759321193101753</v>
      </c>
      <c r="AW395">
        <f t="shared" si="355"/>
        <v>41386.087346583074</v>
      </c>
      <c r="AX395">
        <f t="shared" si="356"/>
        <v>-13933.163303174988</v>
      </c>
      <c r="AY395">
        <f t="shared" ref="AY395:AY458" si="364">ATAN2(AW395,AX395)</f>
        <v>-0.32474423287398441</v>
      </c>
      <c r="BA395">
        <f t="shared" si="345"/>
        <v>2.2646504520104402</v>
      </c>
      <c r="BB395">
        <f t="shared" si="357"/>
        <v>7.1000235664641362</v>
      </c>
      <c r="BC395">
        <f t="shared" si="358"/>
        <v>-1.3511878864361908</v>
      </c>
      <c r="BD395">
        <f t="shared" si="346"/>
        <v>-257.41736331045797</v>
      </c>
      <c r="BF395">
        <f t="shared" si="347"/>
        <v>-38.496755162933084</v>
      </c>
      <c r="BG395">
        <f t="shared" si="348"/>
        <v>-168.376261079812</v>
      </c>
      <c r="BH395">
        <f t="shared" si="359"/>
        <v>11.623738920188003</v>
      </c>
      <c r="BI395">
        <f t="shared" si="360"/>
        <v>11.623738920188003</v>
      </c>
      <c r="BJ395">
        <f t="shared" si="349"/>
        <v>0</v>
      </c>
      <c r="BK395">
        <f t="shared" si="361"/>
        <v>0</v>
      </c>
      <c r="BM395">
        <f t="shared" si="362"/>
        <v>-45.596778729397215</v>
      </c>
      <c r="BN395">
        <f t="shared" si="350"/>
        <v>-90.958897769354053</v>
      </c>
      <c r="BQ395" s="66">
        <f t="shared" si="363"/>
        <v>24.001984366749273</v>
      </c>
      <c r="BR395" s="71"/>
      <c r="BS395" s="71"/>
      <c r="BT395" s="71">
        <v>707945.78399999999</v>
      </c>
      <c r="BU395" s="71">
        <v>9.1002899999999993</v>
      </c>
      <c r="BV395" s="71">
        <v>109.21</v>
      </c>
      <c r="BY395" s="71"/>
      <c r="BZ395" s="71"/>
      <c r="CA395" s="71"/>
      <c r="CC395" s="71"/>
    </row>
    <row r="396" spans="1:81" x14ac:dyDescent="0.2">
      <c r="A396">
        <f t="shared" si="319"/>
        <v>910000</v>
      </c>
      <c r="B396">
        <f t="shared" si="351"/>
        <v>910</v>
      </c>
      <c r="C396">
        <f t="shared" si="320"/>
        <v>56.614048786799671</v>
      </c>
      <c r="D396">
        <f t="shared" si="321"/>
        <v>1.5531319479283352</v>
      </c>
      <c r="F396">
        <f t="shared" si="322"/>
        <v>6.1482567962837125E-6</v>
      </c>
      <c r="G396">
        <f t="shared" si="323"/>
        <v>1.0203890353111568E-3</v>
      </c>
      <c r="H396">
        <f t="shared" si="324"/>
        <v>-3.1405722609646891</v>
      </c>
      <c r="J396">
        <f t="shared" si="325"/>
        <v>15</v>
      </c>
      <c r="M396">
        <f t="shared" si="326"/>
        <v>3.7071419318129841E-3</v>
      </c>
      <c r="N396">
        <f t="shared" si="327"/>
        <v>-1.5707963250000001</v>
      </c>
      <c r="O396">
        <f t="shared" si="328"/>
        <v>269.64852133274019</v>
      </c>
      <c r="P396">
        <f t="shared" si="329"/>
        <v>1.5670877869250228</v>
      </c>
      <c r="Q396">
        <f t="shared" si="330"/>
        <v>373.59576637414779</v>
      </c>
      <c r="R396">
        <f t="shared" si="331"/>
        <v>1.5681196337375298</v>
      </c>
      <c r="S396">
        <f t="shared" si="332"/>
        <v>2.9430939414528519E-2</v>
      </c>
      <c r="T396">
        <f t="shared" si="333"/>
        <v>-1.5413611369739588</v>
      </c>
      <c r="U396">
        <f t="shared" si="334"/>
        <v>0.99474956593830011</v>
      </c>
      <c r="V396">
        <f t="shared" si="335"/>
        <v>-0.10251863259974889</v>
      </c>
      <c r="X396">
        <f t="shared" si="352"/>
        <v>-24.869508832277244</v>
      </c>
      <c r="Y396">
        <f t="shared" si="336"/>
        <v>-95.506849893652387</v>
      </c>
      <c r="Z396">
        <f t="shared" si="353"/>
        <v>84.493150106347613</v>
      </c>
      <c r="AC396">
        <v>1</v>
      </c>
      <c r="AD396">
        <f t="shared" si="337"/>
        <v>269.64666706068004</v>
      </c>
      <c r="AE396">
        <f t="shared" si="338"/>
        <v>-1.5417583769493897E-3</v>
      </c>
      <c r="AF396">
        <f t="shared" si="339"/>
        <v>1.4986088090882999E-2</v>
      </c>
      <c r="AG396">
        <f t="shared" si="315"/>
        <v>17797.891811082976</v>
      </c>
      <c r="AH396">
        <f t="shared" si="316"/>
        <v>-1897.7633535384084</v>
      </c>
      <c r="AJ396">
        <f t="shared" si="340"/>
        <v>18000</v>
      </c>
      <c r="AK396">
        <f t="shared" si="341"/>
        <v>611336.3367711599</v>
      </c>
      <c r="AL396">
        <v>1</v>
      </c>
      <c r="AM396">
        <f t="shared" si="342"/>
        <v>373.59442802681997</v>
      </c>
      <c r="AN396">
        <f t="shared" si="317"/>
        <v>1636.4808763954766</v>
      </c>
      <c r="AO396">
        <f t="shared" si="318"/>
        <v>-43.80022263723324</v>
      </c>
      <c r="AQ396">
        <f t="shared" si="343"/>
        <v>3.0189581515039999E-3</v>
      </c>
      <c r="AR396">
        <f t="shared" si="344"/>
        <v>-5.4945038357372793</v>
      </c>
      <c r="AT396">
        <f t="shared" si="313"/>
        <v>-10373.536934775773</v>
      </c>
      <c r="AU396">
        <f t="shared" si="314"/>
        <v>-97796.31409217832</v>
      </c>
      <c r="AV396">
        <f t="shared" si="354"/>
        <v>-1.6764740487703611</v>
      </c>
      <c r="AW396">
        <f t="shared" si="355"/>
        <v>41384.115055664355</v>
      </c>
      <c r="AX396">
        <f t="shared" si="356"/>
        <v>-13901.211235907846</v>
      </c>
      <c r="AY396">
        <f t="shared" si="364"/>
        <v>-0.32406500459890125</v>
      </c>
      <c r="BA396">
        <f t="shared" si="345"/>
        <v>2.2526997173410535</v>
      </c>
      <c r="BB396">
        <f t="shared" si="357"/>
        <v>7.0540660910834401</v>
      </c>
      <c r="BC396">
        <f t="shared" si="358"/>
        <v>-1.3524090441714598</v>
      </c>
      <c r="BD396">
        <f t="shared" si="346"/>
        <v>-257.48733049488857</v>
      </c>
      <c r="BF396">
        <f t="shared" si="347"/>
        <v>-38.590584460854089</v>
      </c>
      <c r="BG396">
        <f t="shared" si="348"/>
        <v>-168.44096076472752</v>
      </c>
      <c r="BH396">
        <f t="shared" si="359"/>
        <v>11.559039235272479</v>
      </c>
      <c r="BI396">
        <f t="shared" si="360"/>
        <v>11.559039235272479</v>
      </c>
      <c r="BJ396">
        <f t="shared" si="349"/>
        <v>0</v>
      </c>
      <c r="BK396">
        <f t="shared" si="361"/>
        <v>0</v>
      </c>
      <c r="BM396">
        <f t="shared" si="362"/>
        <v>-45.644650551937531</v>
      </c>
      <c r="BN396">
        <f t="shared" si="350"/>
        <v>-90.953630269838982</v>
      </c>
      <c r="BQ396" s="66">
        <f t="shared" si="363"/>
        <v>23.956026891368577</v>
      </c>
      <c r="BR396" s="71"/>
      <c r="BS396" s="71"/>
      <c r="BT396" s="71">
        <v>724435.96</v>
      </c>
      <c r="BU396" s="71">
        <v>8.7908299999999997</v>
      </c>
      <c r="BV396" s="71">
        <v>107.553</v>
      </c>
      <c r="BY396" s="71"/>
      <c r="BZ396" s="71"/>
      <c r="CA396" s="71"/>
      <c r="CC396" s="71"/>
    </row>
    <row r="397" spans="1:81" x14ac:dyDescent="0.2">
      <c r="A397">
        <f t="shared" si="319"/>
        <v>915000</v>
      </c>
      <c r="B397">
        <f t="shared" si="351"/>
        <v>915</v>
      </c>
      <c r="C397">
        <f t="shared" si="320"/>
        <v>56.925018202032646</v>
      </c>
      <c r="D397">
        <f t="shared" si="321"/>
        <v>1.5532284546748027</v>
      </c>
      <c r="F397">
        <f t="shared" si="322"/>
        <v>6.0812459468180618E-6</v>
      </c>
      <c r="G397">
        <f t="shared" si="323"/>
        <v>1.014813074202653E-3</v>
      </c>
      <c r="H397">
        <f t="shared" si="324"/>
        <v>-3.1405778369257975</v>
      </c>
      <c r="J397">
        <f t="shared" si="325"/>
        <v>15</v>
      </c>
      <c r="M397">
        <f t="shared" si="326"/>
        <v>3.6868843256282133E-3</v>
      </c>
      <c r="N397">
        <f t="shared" si="327"/>
        <v>-1.5707963250000001</v>
      </c>
      <c r="O397">
        <f t="shared" si="328"/>
        <v>271.13008629391504</v>
      </c>
      <c r="P397">
        <f t="shared" si="329"/>
        <v>1.5671080519859251</v>
      </c>
      <c r="Q397">
        <f t="shared" si="330"/>
        <v>375.64847569831039</v>
      </c>
      <c r="R397">
        <f t="shared" si="331"/>
        <v>1.568134260406256</v>
      </c>
      <c r="S397">
        <f t="shared" si="332"/>
        <v>2.9270252773474142E-2</v>
      </c>
      <c r="T397">
        <f t="shared" si="333"/>
        <v>-1.541521892872292</v>
      </c>
      <c r="U397">
        <f t="shared" si="334"/>
        <v>0.99469217017307399</v>
      </c>
      <c r="V397">
        <f t="shared" si="335"/>
        <v>-0.10307795102726035</v>
      </c>
      <c r="X397">
        <f t="shared" si="352"/>
        <v>-24.917579342137401</v>
      </c>
      <c r="Y397">
        <f t="shared" si="336"/>
        <v>-95.540898014421401</v>
      </c>
      <c r="Z397">
        <f t="shared" si="353"/>
        <v>84.459101985578599</v>
      </c>
      <c r="AC397">
        <v>1</v>
      </c>
      <c r="AD397">
        <f t="shared" si="337"/>
        <v>271.12824215442004</v>
      </c>
      <c r="AE397">
        <f t="shared" si="338"/>
        <v>-1.5587473217503354E-3</v>
      </c>
      <c r="AF397">
        <f t="shared" si="339"/>
        <v>1.5068429234239501E-2</v>
      </c>
      <c r="AG397">
        <f t="shared" si="315"/>
        <v>17795.838039591956</v>
      </c>
      <c r="AH397">
        <f t="shared" si="316"/>
        <v>-1907.2468958618142</v>
      </c>
      <c r="AJ397">
        <f t="shared" si="340"/>
        <v>18000</v>
      </c>
      <c r="AK397">
        <f t="shared" si="341"/>
        <v>614695.32763254002</v>
      </c>
      <c r="AL397">
        <v>1</v>
      </c>
      <c r="AM397">
        <f t="shared" si="342"/>
        <v>375.64714466433003</v>
      </c>
      <c r="AN397">
        <f t="shared" si="317"/>
        <v>1636.4795985935607</v>
      </c>
      <c r="AO397">
        <f t="shared" si="318"/>
        <v>-43.560880559942817</v>
      </c>
      <c r="AQ397">
        <f t="shared" si="343"/>
        <v>2.9860542309253094E-3</v>
      </c>
      <c r="AR397">
        <f t="shared" si="344"/>
        <v>-5.4644792425933169</v>
      </c>
      <c r="AT397">
        <f t="shared" si="313"/>
        <v>-10368.971735466435</v>
      </c>
      <c r="AU397">
        <f t="shared" si="314"/>
        <v>-97250.682714565599</v>
      </c>
      <c r="AV397">
        <f t="shared" si="354"/>
        <v>-1.6770161045980874</v>
      </c>
      <c r="AW397">
        <f t="shared" si="355"/>
        <v>41382.075749060234</v>
      </c>
      <c r="AX397">
        <f t="shared" si="356"/>
        <v>-13869.842698218232</v>
      </c>
      <c r="AY397">
        <f t="shared" si="364"/>
        <v>-0.32339856639820475</v>
      </c>
      <c r="BA397">
        <f t="shared" si="345"/>
        <v>2.2408718855006877</v>
      </c>
      <c r="BB397">
        <f t="shared" si="357"/>
        <v>7.0083405576483591</v>
      </c>
      <c r="BC397">
        <f t="shared" si="358"/>
        <v>-1.3536175381998827</v>
      </c>
      <c r="BD397">
        <f t="shared" si="346"/>
        <v>-257.55657210236308</v>
      </c>
      <c r="BF397">
        <f t="shared" si="347"/>
        <v>-38.683919335081356</v>
      </c>
      <c r="BG397">
        <f t="shared" si="348"/>
        <v>-168.50499242196722</v>
      </c>
      <c r="BH397">
        <f t="shared" si="359"/>
        <v>11.495007578032784</v>
      </c>
      <c r="BI397">
        <f t="shared" si="360"/>
        <v>11.495007578032784</v>
      </c>
      <c r="BJ397">
        <f t="shared" si="349"/>
        <v>0</v>
      </c>
      <c r="BK397">
        <f t="shared" si="361"/>
        <v>0</v>
      </c>
      <c r="BM397">
        <f t="shared" si="362"/>
        <v>-45.692259892729716</v>
      </c>
      <c r="BN397">
        <f t="shared" si="350"/>
        <v>-90.948420319604153</v>
      </c>
      <c r="BQ397" s="66">
        <f t="shared" si="363"/>
        <v>23.910301357933498</v>
      </c>
      <c r="BR397" s="71"/>
      <c r="BS397" s="71"/>
      <c r="BT397" s="71">
        <v>741310.24100000004</v>
      </c>
      <c r="BU397" s="71">
        <v>8.6150300000000009</v>
      </c>
      <c r="BV397" s="71">
        <v>107.324</v>
      </c>
      <c r="BY397" s="71"/>
      <c r="BZ397" s="71"/>
      <c r="CA397" s="71"/>
      <c r="CC397" s="71"/>
    </row>
    <row r="398" spans="1:81" x14ac:dyDescent="0.2">
      <c r="A398">
        <f t="shared" si="319"/>
        <v>920000</v>
      </c>
      <c r="B398">
        <f t="shared" si="351"/>
        <v>920</v>
      </c>
      <c r="C398">
        <f t="shared" si="320"/>
        <v>57.235988141678746</v>
      </c>
      <c r="D398">
        <f t="shared" si="321"/>
        <v>1.5533239127568585</v>
      </c>
      <c r="F398">
        <f t="shared" si="322"/>
        <v>6.0153247019988038E-6</v>
      </c>
      <c r="G398">
        <f t="shared" si="323"/>
        <v>1.0092977224140382E-3</v>
      </c>
      <c r="H398">
        <f t="shared" si="324"/>
        <v>-3.1405833522775861</v>
      </c>
      <c r="J398">
        <f t="shared" si="325"/>
        <v>15</v>
      </c>
      <c r="M398">
        <f t="shared" si="326"/>
        <v>3.6668469108150168E-3</v>
      </c>
      <c r="N398">
        <f t="shared" si="327"/>
        <v>-1.5707963250000001</v>
      </c>
      <c r="O398">
        <f t="shared" si="328"/>
        <v>272.61165136522544</v>
      </c>
      <c r="P398">
        <f t="shared" si="329"/>
        <v>1.5671280967774066</v>
      </c>
      <c r="Q398">
        <f t="shared" si="330"/>
        <v>377.70118510196551</v>
      </c>
      <c r="R398">
        <f t="shared" si="331"/>
        <v>1.568148728090573</v>
      </c>
      <c r="S398">
        <f t="shared" si="332"/>
        <v>2.9111310493897636E-2</v>
      </c>
      <c r="T398">
        <f t="shared" si="333"/>
        <v>-1.5416809029128395</v>
      </c>
      <c r="U398">
        <f t="shared" si="334"/>
        <v>0.99463446992613413</v>
      </c>
      <c r="V398">
        <f t="shared" si="335"/>
        <v>-0.10363720473966215</v>
      </c>
      <c r="X398">
        <f t="shared" si="352"/>
        <v>-24.965393571913829</v>
      </c>
      <c r="Y398">
        <f t="shared" si="336"/>
        <v>-95.574920738035502</v>
      </c>
      <c r="Z398">
        <f t="shared" si="353"/>
        <v>84.425079261964498</v>
      </c>
      <c r="AC398">
        <v>1</v>
      </c>
      <c r="AD398">
        <f t="shared" si="337"/>
        <v>272.60981724816003</v>
      </c>
      <c r="AE398">
        <f t="shared" si="338"/>
        <v>-1.5758293566597798E-3</v>
      </c>
      <c r="AF398">
        <f t="shared" si="339"/>
        <v>1.5150770377596001E-2</v>
      </c>
      <c r="AG398">
        <f t="shared" si="315"/>
        <v>17793.773492392145</v>
      </c>
      <c r="AH398">
        <f t="shared" si="316"/>
        <v>-1916.7309589754327</v>
      </c>
      <c r="AJ398">
        <f t="shared" si="340"/>
        <v>18000</v>
      </c>
      <c r="AK398">
        <f t="shared" si="341"/>
        <v>618054.31849392003</v>
      </c>
      <c r="AL398">
        <v>1</v>
      </c>
      <c r="AM398">
        <f t="shared" si="342"/>
        <v>377.69986130183997</v>
      </c>
      <c r="AN398">
        <f t="shared" si="317"/>
        <v>1636.478341568512</v>
      </c>
      <c r="AO398">
        <f t="shared" si="318"/>
        <v>-43.324139971961841</v>
      </c>
      <c r="AQ398">
        <f t="shared" si="343"/>
        <v>2.9536853279521127E-3</v>
      </c>
      <c r="AR398">
        <f t="shared" si="344"/>
        <v>-5.4347810034318869</v>
      </c>
      <c r="AT398">
        <f t="shared" si="313"/>
        <v>-10364.455796836082</v>
      </c>
      <c r="AU398">
        <f t="shared" si="314"/>
        <v>-96710.923575933848</v>
      </c>
      <c r="AV398">
        <f t="shared" si="354"/>
        <v>-1.6775582833446878</v>
      </c>
      <c r="AW398">
        <f t="shared" si="355"/>
        <v>41379.97037158499</v>
      </c>
      <c r="AX398">
        <f t="shared" si="356"/>
        <v>-13839.048008267975</v>
      </c>
      <c r="AY398">
        <f t="shared" si="364"/>
        <v>-0.32274471762919921</v>
      </c>
      <c r="BA398">
        <f t="shared" si="345"/>
        <v>2.2291651109610067</v>
      </c>
      <c r="BB398">
        <f t="shared" si="357"/>
        <v>6.9628447444239008</v>
      </c>
      <c r="BC398">
        <f t="shared" si="358"/>
        <v>-1.3548135657154887</v>
      </c>
      <c r="BD398">
        <f t="shared" si="346"/>
        <v>-257.62509943126713</v>
      </c>
      <c r="BF398">
        <f t="shared" si="347"/>
        <v>-38.776764870948305</v>
      </c>
      <c r="BG398">
        <f t="shared" si="348"/>
        <v>-168.56836641202318</v>
      </c>
      <c r="BH398">
        <f t="shared" si="359"/>
        <v>11.431633587976819</v>
      </c>
      <c r="BI398">
        <f t="shared" si="360"/>
        <v>11.431633587976819</v>
      </c>
      <c r="BJ398">
        <f t="shared" si="349"/>
        <v>0</v>
      </c>
      <c r="BK398">
        <f t="shared" si="361"/>
        <v>0</v>
      </c>
      <c r="BM398">
        <f t="shared" si="362"/>
        <v>-45.739609615372203</v>
      </c>
      <c r="BN398">
        <f t="shared" si="350"/>
        <v>-90.943266980756064</v>
      </c>
      <c r="BQ398" s="66">
        <f t="shared" si="363"/>
        <v>23.864805544709039</v>
      </c>
      <c r="BR398" s="71"/>
      <c r="BS398" s="71"/>
      <c r="BT398" s="71">
        <v>758577.57499999995</v>
      </c>
      <c r="BU398" s="71">
        <v>8.3056699999999992</v>
      </c>
      <c r="BV398" s="71">
        <v>105.50700000000001</v>
      </c>
      <c r="BY398" s="71"/>
      <c r="BZ398" s="71"/>
      <c r="CA398" s="71"/>
      <c r="CC398" s="71"/>
    </row>
    <row r="399" spans="1:81" x14ac:dyDescent="0.2">
      <c r="A399">
        <f t="shared" si="319"/>
        <v>925000</v>
      </c>
      <c r="B399">
        <f t="shared" si="351"/>
        <v>925</v>
      </c>
      <c r="C399">
        <f t="shared" si="320"/>
        <v>57.546958597236575</v>
      </c>
      <c r="D399">
        <f t="shared" si="321"/>
        <v>1.5534183391729688</v>
      </c>
      <c r="F399">
        <f t="shared" si="322"/>
        <v>5.9504695663791285E-6</v>
      </c>
      <c r="G399">
        <f t="shared" si="323"/>
        <v>1.0038419970690216E-3</v>
      </c>
      <c r="H399">
        <f t="shared" si="324"/>
        <v>-3.1405888080029314</v>
      </c>
      <c r="J399">
        <f t="shared" si="325"/>
        <v>15</v>
      </c>
      <c r="M399">
        <f t="shared" si="326"/>
        <v>3.647026116702503E-3</v>
      </c>
      <c r="N399">
        <f t="shared" si="327"/>
        <v>-1.5707963250000001</v>
      </c>
      <c r="O399">
        <f t="shared" si="328"/>
        <v>274.09321654488525</v>
      </c>
      <c r="P399">
        <f t="shared" si="329"/>
        <v>1.5671479248713398</v>
      </c>
      <c r="Q399">
        <f t="shared" si="330"/>
        <v>379.75389458382404</v>
      </c>
      <c r="R399">
        <f t="shared" si="331"/>
        <v>1.5681630393685826</v>
      </c>
      <c r="S399">
        <f t="shared" si="332"/>
        <v>2.8954084336683894E-2</v>
      </c>
      <c r="T399">
        <f t="shared" si="333"/>
        <v>-1.5418381953749039</v>
      </c>
      <c r="U399">
        <f t="shared" si="334"/>
        <v>0.99457646535873501</v>
      </c>
      <c r="V399">
        <f t="shared" si="335"/>
        <v>-0.10419639339841656</v>
      </c>
      <c r="X399">
        <f t="shared" si="352"/>
        <v>-25.012954323630964</v>
      </c>
      <c r="Y399">
        <f t="shared" si="336"/>
        <v>-95.608918395389324</v>
      </c>
      <c r="Z399">
        <f t="shared" si="353"/>
        <v>84.391081604610676</v>
      </c>
      <c r="AC399">
        <v>1</v>
      </c>
      <c r="AD399">
        <f t="shared" si="337"/>
        <v>274.09139234190008</v>
      </c>
      <c r="AE399">
        <f t="shared" si="338"/>
        <v>-1.5930044816777221E-3</v>
      </c>
      <c r="AF399">
        <f t="shared" si="339"/>
        <v>1.52331115209525E-2</v>
      </c>
      <c r="AG399">
        <f t="shared" si="315"/>
        <v>17791.698177148788</v>
      </c>
      <c r="AH399">
        <f t="shared" si="316"/>
        <v>-1926.2154611351953</v>
      </c>
      <c r="AJ399">
        <f t="shared" si="340"/>
        <v>18000</v>
      </c>
      <c r="AK399">
        <f t="shared" si="341"/>
        <v>621413.30935529992</v>
      </c>
      <c r="AL399">
        <v>1</v>
      </c>
      <c r="AM399">
        <f t="shared" si="342"/>
        <v>379.75257793934998</v>
      </c>
      <c r="AN399">
        <f t="shared" si="317"/>
        <v>1636.4771048723217</v>
      </c>
      <c r="AO399">
        <f t="shared" si="318"/>
        <v>-43.089958688156912</v>
      </c>
      <c r="AQ399">
        <f t="shared" si="343"/>
        <v>2.9218399059635046E-3</v>
      </c>
      <c r="AR399">
        <f t="shared" si="344"/>
        <v>-5.405403826032483</v>
      </c>
      <c r="AT399">
        <f t="shared" si="313"/>
        <v>-10359.987929654257</v>
      </c>
      <c r="AU399">
        <f t="shared" si="314"/>
        <v>-96176.941491577047</v>
      </c>
      <c r="AV399">
        <f t="shared" si="354"/>
        <v>-1.6781005816289749</v>
      </c>
      <c r="AW399">
        <f t="shared" si="355"/>
        <v>41377.799843132823</v>
      </c>
      <c r="AX399">
        <f t="shared" si="356"/>
        <v>-13808.817692834462</v>
      </c>
      <c r="AY399">
        <f t="shared" si="364"/>
        <v>-0.32210326174275261</v>
      </c>
      <c r="BA399">
        <f t="shared" si="345"/>
        <v>2.2175775840912735</v>
      </c>
      <c r="BB399">
        <f t="shared" si="357"/>
        <v>6.9175764596202827</v>
      </c>
      <c r="BC399">
        <f t="shared" si="358"/>
        <v>-1.3559973198862223</v>
      </c>
      <c r="BD399">
        <f t="shared" si="346"/>
        <v>-257.69292354930866</v>
      </c>
      <c r="BF399">
        <f t="shared" si="347"/>
        <v>-38.869126077221182</v>
      </c>
      <c r="BG399">
        <f t="shared" si="348"/>
        <v>-168.63109288497768</v>
      </c>
      <c r="BH399">
        <f t="shared" si="359"/>
        <v>11.368907115022324</v>
      </c>
      <c r="BI399">
        <f t="shared" si="360"/>
        <v>11.368907115022324</v>
      </c>
      <c r="BJ399">
        <f t="shared" si="349"/>
        <v>0</v>
      </c>
      <c r="BK399">
        <f t="shared" si="361"/>
        <v>0</v>
      </c>
      <c r="BM399">
        <f t="shared" si="362"/>
        <v>-45.786702536841474</v>
      </c>
      <c r="BN399">
        <f t="shared" si="350"/>
        <v>-90.938169335669045</v>
      </c>
      <c r="BQ399" s="66">
        <f t="shared" si="363"/>
        <v>23.81953725990542</v>
      </c>
      <c r="BR399" s="71"/>
      <c r="BS399" s="71"/>
      <c r="BT399" s="71">
        <v>776247.11699999997</v>
      </c>
      <c r="BU399" s="71">
        <v>7.9999099999999999</v>
      </c>
      <c r="BV399" s="71">
        <v>105.28700000000001</v>
      </c>
      <c r="BY399" s="71"/>
      <c r="BZ399" s="71"/>
      <c r="CA399" s="71"/>
      <c r="CC399" s="71"/>
    </row>
    <row r="400" spans="1:81" x14ac:dyDescent="0.2">
      <c r="A400">
        <f t="shared" si="319"/>
        <v>930000</v>
      </c>
      <c r="B400">
        <f t="shared" si="351"/>
        <v>930</v>
      </c>
      <c r="C400">
        <f t="shared" si="320"/>
        <v>57.857929560387475</v>
      </c>
      <c r="D400">
        <f t="shared" si="321"/>
        <v>1.553511750556225</v>
      </c>
      <c r="F400">
        <f t="shared" si="322"/>
        <v>5.8866576744146932E-6</v>
      </c>
      <c r="G400">
        <f t="shared" si="323"/>
        <v>9.984449364290372E-4</v>
      </c>
      <c r="H400">
        <f t="shared" si="324"/>
        <v>-3.1405942050635711</v>
      </c>
      <c r="J400">
        <f t="shared" si="325"/>
        <v>15</v>
      </c>
      <c r="M400">
        <f t="shared" si="326"/>
        <v>3.627418449408404E-3</v>
      </c>
      <c r="N400">
        <f t="shared" si="327"/>
        <v>-1.5707963250000001</v>
      </c>
      <c r="O400">
        <f t="shared" si="328"/>
        <v>275.57478183114711</v>
      </c>
      <c r="P400">
        <f t="shared" si="329"/>
        <v>1.5671675397627847</v>
      </c>
      <c r="Q400">
        <f t="shared" si="330"/>
        <v>381.80660414262462</v>
      </c>
      <c r="R400">
        <f t="shared" si="331"/>
        <v>1.5681771967629436</v>
      </c>
      <c r="S400">
        <f t="shared" si="332"/>
        <v>2.8798546668736873E-2</v>
      </c>
      <c r="T400">
        <f t="shared" si="333"/>
        <v>-1.5419937979304792</v>
      </c>
      <c r="U400">
        <f t="shared" si="334"/>
        <v>0.99451815663293075</v>
      </c>
      <c r="V400">
        <f t="shared" si="335"/>
        <v>-0.10475551666522734</v>
      </c>
      <c r="X400">
        <f t="shared" si="352"/>
        <v>-25.060264354068671</v>
      </c>
      <c r="Y400">
        <f t="shared" si="336"/>
        <v>-95.642891309896058</v>
      </c>
      <c r="Z400">
        <f t="shared" si="353"/>
        <v>84.357108690103942</v>
      </c>
      <c r="AC400">
        <v>1</v>
      </c>
      <c r="AD400">
        <f t="shared" si="337"/>
        <v>275.57296743564001</v>
      </c>
      <c r="AE400">
        <f t="shared" si="338"/>
        <v>-1.6102726968041628E-3</v>
      </c>
      <c r="AF400">
        <f t="shared" si="339"/>
        <v>1.5315452664309E-2</v>
      </c>
      <c r="AG400">
        <f t="shared" si="315"/>
        <v>17789.612101564366</v>
      </c>
      <c r="AH400">
        <f t="shared" si="316"/>
        <v>-1935.7003220004785</v>
      </c>
      <c r="AJ400">
        <f t="shared" si="340"/>
        <v>18000</v>
      </c>
      <c r="AK400">
        <f t="shared" si="341"/>
        <v>624772.30021668004</v>
      </c>
      <c r="AL400">
        <v>1</v>
      </c>
      <c r="AM400">
        <f t="shared" si="342"/>
        <v>381.80529457686004</v>
      </c>
      <c r="AN400">
        <f t="shared" si="317"/>
        <v>1636.4758880689931</v>
      </c>
      <c r="AO400">
        <f t="shared" si="318"/>
        <v>-42.858295430570344</v>
      </c>
      <c r="AQ400">
        <f t="shared" si="343"/>
        <v>2.8905067376266799E-3</v>
      </c>
      <c r="AR400">
        <f t="shared" si="344"/>
        <v>-5.3763425319856246</v>
      </c>
      <c r="AT400">
        <f t="shared" si="313"/>
        <v>-10355.566976710106</v>
      </c>
      <c r="AU400">
        <f t="shared" si="314"/>
        <v>-95648.64332398944</v>
      </c>
      <c r="AV400">
        <f t="shared" si="354"/>
        <v>-1.6786429961354348</v>
      </c>
      <c r="AW400">
        <f t="shared" si="355"/>
        <v>41375.565059482011</v>
      </c>
      <c r="AX400">
        <f t="shared" si="356"/>
        <v>-13779.142481701605</v>
      </c>
      <c r="AY400">
        <f t="shared" si="364"/>
        <v>-0.32147400618046773</v>
      </c>
      <c r="BA400">
        <f t="shared" si="345"/>
        <v>2.206107530313135</v>
      </c>
      <c r="BB400">
        <f t="shared" si="357"/>
        <v>6.8725335409002053</v>
      </c>
      <c r="BC400">
        <f t="shared" si="358"/>
        <v>-1.357168989954967</v>
      </c>
      <c r="BD400">
        <f t="shared" si="346"/>
        <v>-257.76005529930626</v>
      </c>
      <c r="BF400">
        <f t="shared" si="347"/>
        <v>-38.961007887598754</v>
      </c>
      <c r="BG400">
        <f t="shared" si="348"/>
        <v>-168.6931817857469</v>
      </c>
      <c r="BH400">
        <f t="shared" si="359"/>
        <v>11.306818214253099</v>
      </c>
      <c r="BI400">
        <f t="shared" si="360"/>
        <v>11.306818214253099</v>
      </c>
      <c r="BJ400">
        <f t="shared" si="349"/>
        <v>0</v>
      </c>
      <c r="BK400">
        <f t="shared" si="361"/>
        <v>0</v>
      </c>
      <c r="BM400">
        <f t="shared" si="362"/>
        <v>-45.833541428498961</v>
      </c>
      <c r="BN400">
        <f t="shared" si="350"/>
        <v>-90.933126486440642</v>
      </c>
      <c r="BQ400" s="66">
        <f t="shared" si="363"/>
        <v>23.774494341185346</v>
      </c>
      <c r="BR400" s="71"/>
      <c r="BS400" s="71"/>
      <c r="BT400" s="71">
        <v>794328.23499999999</v>
      </c>
      <c r="BU400" s="71">
        <v>7.7399399999999998</v>
      </c>
      <c r="BV400" s="71">
        <v>105.286</v>
      </c>
      <c r="BY400" s="71"/>
      <c r="BZ400" s="71"/>
      <c r="CA400" s="71"/>
      <c r="CC400" s="71"/>
    </row>
    <row r="401" spans="1:81" x14ac:dyDescent="0.2">
      <c r="A401">
        <f t="shared" si="319"/>
        <v>935000</v>
      </c>
      <c r="B401">
        <f t="shared" si="351"/>
        <v>935</v>
      </c>
      <c r="C401">
        <f t="shared" si="320"/>
        <v>58.168901022990674</v>
      </c>
      <c r="D401">
        <f t="shared" si="321"/>
        <v>1.553604163184108</v>
      </c>
      <c r="F401">
        <f t="shared" si="322"/>
        <v>5.8238667703068315E-6</v>
      </c>
      <c r="G401">
        <f t="shared" si="323"/>
        <v>9.9310559932804161E-4</v>
      </c>
      <c r="H401">
        <f t="shared" si="324"/>
        <v>-3.140599544400672</v>
      </c>
      <c r="J401">
        <f t="shared" si="325"/>
        <v>15</v>
      </c>
      <c r="M401">
        <f t="shared" si="326"/>
        <v>3.6080204897858989E-3</v>
      </c>
      <c r="N401">
        <f t="shared" si="327"/>
        <v>-1.5707963250000001</v>
      </c>
      <c r="O401">
        <f t="shared" si="328"/>
        <v>277.0563472223007</v>
      </c>
      <c r="P401">
        <f t="shared" si="329"/>
        <v>1.5671869448720421</v>
      </c>
      <c r="Q401">
        <f t="shared" si="330"/>
        <v>383.85931377713297</v>
      </c>
      <c r="R401">
        <f t="shared" si="331"/>
        <v>1.5681912027423555</v>
      </c>
      <c r="S401">
        <f t="shared" si="332"/>
        <v>2.8644670446816324E-2</v>
      </c>
      <c r="T401">
        <f t="shared" si="333"/>
        <v>-1.5421477376604644</v>
      </c>
      <c r="U401">
        <f t="shared" si="334"/>
        <v>0.99445954391157432</v>
      </c>
      <c r="V401">
        <f t="shared" si="335"/>
        <v>-0.10531457420204086</v>
      </c>
      <c r="X401">
        <f t="shared" si="352"/>
        <v>-25.107326375730214</v>
      </c>
      <c r="Y401">
        <f t="shared" si="336"/>
        <v>-95.676839797686966</v>
      </c>
      <c r="Z401">
        <f t="shared" si="353"/>
        <v>84.323160202313034</v>
      </c>
      <c r="AC401">
        <v>1</v>
      </c>
      <c r="AD401">
        <f t="shared" si="337"/>
        <v>277.05454252938</v>
      </c>
      <c r="AE401">
        <f t="shared" si="338"/>
        <v>-1.6276340020391015E-3</v>
      </c>
      <c r="AF401">
        <f t="shared" si="339"/>
        <v>1.5397793807665502E-2</v>
      </c>
      <c r="AG401">
        <f t="shared" si="315"/>
        <v>17787.515273378602</v>
      </c>
      <c r="AH401">
        <f t="shared" si="316"/>
        <v>-1945.1854625972478</v>
      </c>
      <c r="AJ401">
        <f t="shared" si="340"/>
        <v>18000</v>
      </c>
      <c r="AK401">
        <f t="shared" si="341"/>
        <v>628131.29107805993</v>
      </c>
      <c r="AL401">
        <v>1</v>
      </c>
      <c r="AM401">
        <f t="shared" si="342"/>
        <v>383.85801121436998</v>
      </c>
      <c r="AN401">
        <f t="shared" si="317"/>
        <v>1636.4746907341553</v>
      </c>
      <c r="AO401">
        <f t="shared" si="318"/>
        <v>-42.629109804165168</v>
      </c>
      <c r="AQ401">
        <f t="shared" si="343"/>
        <v>2.8596748949998871E-3</v>
      </c>
      <c r="AR401">
        <f t="shared" si="344"/>
        <v>-5.3475920536497892</v>
      </c>
      <c r="AT401">
        <f t="shared" si="313"/>
        <v>-10351.191811788423</v>
      </c>
      <c r="AU401">
        <f t="shared" si="314"/>
        <v>-95125.937928127169</v>
      </c>
      <c r="AV401">
        <f t="shared" si="354"/>
        <v>-1.6791855236124777</v>
      </c>
      <c r="AW401">
        <f t="shared" si="355"/>
        <v>41373.266893069282</v>
      </c>
      <c r="AX401">
        <f t="shared" si="356"/>
        <v>-13750.013302230884</v>
      </c>
      <c r="AY401">
        <f t="shared" si="364"/>
        <v>-0.32085676227489945</v>
      </c>
      <c r="BA401">
        <f t="shared" si="345"/>
        <v>2.1947532092784203</v>
      </c>
      <c r="BB401">
        <f t="shared" si="357"/>
        <v>6.8277138548949079</v>
      </c>
      <c r="BC401">
        <f t="shared" si="358"/>
        <v>-1.3583287613375783</v>
      </c>
      <c r="BD401">
        <f t="shared" si="346"/>
        <v>-257.82650530480583</v>
      </c>
      <c r="BF401">
        <f t="shared" si="347"/>
        <v>-39.052415162176054</v>
      </c>
      <c r="BG401">
        <f t="shared" si="348"/>
        <v>-168.75464285917064</v>
      </c>
      <c r="BH401">
        <f t="shared" si="359"/>
        <v>11.245357140829356</v>
      </c>
      <c r="BI401">
        <f t="shared" si="360"/>
        <v>11.245357140829356</v>
      </c>
      <c r="BJ401">
        <f t="shared" si="349"/>
        <v>0</v>
      </c>
      <c r="BK401">
        <f t="shared" si="361"/>
        <v>0</v>
      </c>
      <c r="BM401">
        <f t="shared" si="362"/>
        <v>-45.880129017070956</v>
      </c>
      <c r="BN401">
        <f t="shared" si="350"/>
        <v>-90.928137554364824</v>
      </c>
      <c r="BQ401" s="66">
        <f t="shared" si="363"/>
        <v>23.729674655180041</v>
      </c>
      <c r="BR401" s="71"/>
      <c r="BS401" s="71"/>
      <c r="BT401" s="71">
        <v>812830.51599999995</v>
      </c>
      <c r="BU401" s="71">
        <v>7.5259600000000004</v>
      </c>
      <c r="BV401" s="71">
        <v>105.187</v>
      </c>
      <c r="BY401" s="71"/>
      <c r="BZ401" s="71"/>
      <c r="CA401" s="71"/>
      <c r="CC401" s="71"/>
    </row>
    <row r="402" spans="1:81" x14ac:dyDescent="0.2">
      <c r="A402">
        <f t="shared" si="319"/>
        <v>940000</v>
      </c>
      <c r="B402">
        <f t="shared" si="351"/>
        <v>940</v>
      </c>
      <c r="C402">
        <f t="shared" si="320"/>
        <v>58.479872977078529</v>
      </c>
      <c r="D402">
        <f t="shared" si="321"/>
        <v>1.5536955929879392</v>
      </c>
      <c r="F402">
        <f t="shared" si="322"/>
        <v>5.7620751885942813E-6</v>
      </c>
      <c r="G402">
        <f t="shared" si="323"/>
        <v>9.8782306462535767E-4</v>
      </c>
      <c r="H402">
        <f t="shared" si="324"/>
        <v>-3.140604826935375</v>
      </c>
      <c r="J402">
        <f t="shared" si="325"/>
        <v>15</v>
      </c>
      <c r="M402">
        <f t="shared" si="326"/>
        <v>3.5888288914359733E-3</v>
      </c>
      <c r="N402">
        <f t="shared" si="327"/>
        <v>-1.5707963250000001</v>
      </c>
      <c r="O402">
        <f t="shared" si="328"/>
        <v>278.53791271667234</v>
      </c>
      <c r="P402">
        <f t="shared" si="329"/>
        <v>1.567206143546642</v>
      </c>
      <c r="Q402">
        <f t="shared" si="330"/>
        <v>385.91202348614098</v>
      </c>
      <c r="R402">
        <f t="shared" si="331"/>
        <v>1.568205059722992</v>
      </c>
      <c r="S402">
        <f t="shared" si="332"/>
        <v>2.8492429201888984E-2</v>
      </c>
      <c r="T402">
        <f t="shared" si="333"/>
        <v>-1.5423000410703567</v>
      </c>
      <c r="U402">
        <f t="shared" si="334"/>
        <v>0.99440062735831625</v>
      </c>
      <c r="V402">
        <f t="shared" si="335"/>
        <v>-0.10587356567104743</v>
      </c>
      <c r="X402">
        <f t="shared" si="352"/>
        <v>-25.154143057784317</v>
      </c>
      <c r="Y402">
        <f t="shared" si="336"/>
        <v>-95.7107641678042</v>
      </c>
      <c r="Z402">
        <f t="shared" si="353"/>
        <v>84.2892358321958</v>
      </c>
      <c r="AC402">
        <v>1</v>
      </c>
      <c r="AD402">
        <f t="shared" si="337"/>
        <v>278.53611762312005</v>
      </c>
      <c r="AE402">
        <f t="shared" si="338"/>
        <v>-1.6450883973825388E-3</v>
      </c>
      <c r="AF402">
        <f t="shared" si="339"/>
        <v>1.5480134951022E-2</v>
      </c>
      <c r="AG402">
        <f t="shared" si="315"/>
        <v>17785.407700368331</v>
      </c>
      <c r="AH402">
        <f t="shared" si="316"/>
        <v>-1954.6708052823744</v>
      </c>
      <c r="AJ402">
        <f t="shared" si="340"/>
        <v>18000</v>
      </c>
      <c r="AK402">
        <f t="shared" si="341"/>
        <v>631490.28193943994</v>
      </c>
      <c r="AL402">
        <v>1</v>
      </c>
      <c r="AM402">
        <f t="shared" si="342"/>
        <v>385.91072785187998</v>
      </c>
      <c r="AN402">
        <f t="shared" si="317"/>
        <v>1636.4735124546933</v>
      </c>
      <c r="AO402">
        <f t="shared" si="318"/>
        <v>-42.402362273344067</v>
      </c>
      <c r="AQ402">
        <f t="shared" si="343"/>
        <v>2.829333740002903E-3</v>
      </c>
      <c r="AR402">
        <f t="shared" si="344"/>
        <v>-5.3191474312054572</v>
      </c>
      <c r="AT402">
        <f t="shared" si="313"/>
        <v>-10346.861338683684</v>
      </c>
      <c r="AU402">
        <f t="shared" si="314"/>
        <v>-94608.736098415946</v>
      </c>
      <c r="AV402">
        <f t="shared" si="354"/>
        <v>-1.6797281608707468</v>
      </c>
      <c r="AW402">
        <f t="shared" si="355"/>
        <v>41370.906193735056</v>
      </c>
      <c r="AX402">
        <f t="shared" si="356"/>
        <v>-13721.421274105742</v>
      </c>
      <c r="AY402">
        <f t="shared" si="364"/>
        <v>-0.32025134515271825</v>
      </c>
      <c r="BA402">
        <f t="shared" si="345"/>
        <v>2.1835129140692455</v>
      </c>
      <c r="BB402">
        <f t="shared" si="357"/>
        <v>6.7831152967288304</v>
      </c>
      <c r="BC402">
        <f t="shared" si="358"/>
        <v>-1.3594768157180286</v>
      </c>
      <c r="BD402">
        <f t="shared" si="346"/>
        <v>-257.89228397553234</v>
      </c>
      <c r="BF402">
        <f t="shared" si="347"/>
        <v>-39.143352688873449</v>
      </c>
      <c r="BG402">
        <f t="shared" si="348"/>
        <v>-168.81548565495385</v>
      </c>
      <c r="BH402">
        <f t="shared" si="359"/>
        <v>11.184514345046153</v>
      </c>
      <c r="BI402">
        <f t="shared" si="360"/>
        <v>11.184514345046153</v>
      </c>
      <c r="BJ402">
        <f t="shared" si="349"/>
        <v>0</v>
      </c>
      <c r="BK402">
        <f t="shared" si="361"/>
        <v>0</v>
      </c>
      <c r="BM402">
        <f t="shared" si="362"/>
        <v>-45.926467985602279</v>
      </c>
      <c r="BN402">
        <f t="shared" si="350"/>
        <v>-90.923201679421567</v>
      </c>
      <c r="BQ402" s="66">
        <f t="shared" si="363"/>
        <v>23.685076097013965</v>
      </c>
      <c r="BR402" s="71"/>
      <c r="BS402" s="71"/>
      <c r="BT402" s="71">
        <v>831763.77099999995</v>
      </c>
      <c r="BU402" s="71">
        <v>7.3913599999999997</v>
      </c>
      <c r="BV402" s="71">
        <v>104.541</v>
      </c>
      <c r="BY402" s="71"/>
      <c r="BZ402" s="71"/>
      <c r="CA402" s="71"/>
      <c r="CC402" s="71"/>
    </row>
    <row r="403" spans="1:81" x14ac:dyDescent="0.2">
      <c r="A403">
        <f t="shared" si="319"/>
        <v>945000</v>
      </c>
      <c r="B403">
        <f t="shared" si="351"/>
        <v>945</v>
      </c>
      <c r="C403">
        <f t="shared" si="320"/>
        <v>58.790845414851987</v>
      </c>
      <c r="D403">
        <f t="shared" si="321"/>
        <v>1.5537860555620344</v>
      </c>
      <c r="F403">
        <f t="shared" si="322"/>
        <v>5.7012618354618351E-6</v>
      </c>
      <c r="G403">
        <f t="shared" si="323"/>
        <v>9.8259643067588262E-4</v>
      </c>
      <c r="H403">
        <f t="shared" si="324"/>
        <v>-3.1406100535693242</v>
      </c>
      <c r="J403">
        <f t="shared" si="325"/>
        <v>15</v>
      </c>
      <c r="M403">
        <f t="shared" si="326"/>
        <v>3.5698403787828735E-3</v>
      </c>
      <c r="N403">
        <f t="shared" si="327"/>
        <v>-1.5707963250000001</v>
      </c>
      <c r="O403">
        <f t="shared" si="328"/>
        <v>280.01947831262356</v>
      </c>
      <c r="P403">
        <f t="shared" si="329"/>
        <v>1.567225139063269</v>
      </c>
      <c r="Q403">
        <f t="shared" si="330"/>
        <v>387.96473326846609</v>
      </c>
      <c r="R403">
        <f t="shared" si="331"/>
        <v>1.5682187700698924</v>
      </c>
      <c r="S403">
        <f t="shared" si="332"/>
        <v>2.8341797023975011E-2</v>
      </c>
      <c r="T403">
        <f t="shared" si="333"/>
        <v>-1.5424507341054501</v>
      </c>
      <c r="U403">
        <f t="shared" si="334"/>
        <v>0.99434140713760311</v>
      </c>
      <c r="V403">
        <f t="shared" si="335"/>
        <v>-0.10643249073468224</v>
      </c>
      <c r="X403">
        <f t="shared" si="352"/>
        <v>-25.200717026982428</v>
      </c>
      <c r="Y403">
        <f t="shared" si="336"/>
        <v>-95.744664722387526</v>
      </c>
      <c r="Z403">
        <f t="shared" si="353"/>
        <v>84.255335277612474</v>
      </c>
      <c r="AC403">
        <v>1</v>
      </c>
      <c r="AD403">
        <f t="shared" si="337"/>
        <v>280.01769271686004</v>
      </c>
      <c r="AE403">
        <f t="shared" si="338"/>
        <v>-1.6626358828344748E-3</v>
      </c>
      <c r="AF403">
        <f t="shared" si="339"/>
        <v>1.5562476094378502E-2</v>
      </c>
      <c r="AG403">
        <f t="shared" si="315"/>
        <v>17783.289390347436</v>
      </c>
      <c r="AH403">
        <f t="shared" si="316"/>
        <v>-1964.1562737090894</v>
      </c>
      <c r="AJ403">
        <f t="shared" si="340"/>
        <v>18000</v>
      </c>
      <c r="AK403">
        <f t="shared" si="341"/>
        <v>634849.27280081995</v>
      </c>
      <c r="AL403">
        <v>1</v>
      </c>
      <c r="AM403">
        <f t="shared" si="342"/>
        <v>387.96344448938999</v>
      </c>
      <c r="AN403">
        <f t="shared" si="317"/>
        <v>1636.4723528283916</v>
      </c>
      <c r="AO403">
        <f t="shared" si="318"/>
        <v>-42.178014139213872</v>
      </c>
      <c r="AQ403">
        <f t="shared" si="343"/>
        <v>2.7994729152395186E-3</v>
      </c>
      <c r="AR403">
        <f t="shared" si="344"/>
        <v>-5.2910038098026906</v>
      </c>
      <c r="AT403">
        <f t="shared" si="313"/>
        <v>-10342.574490250503</v>
      </c>
      <c r="AU403">
        <f t="shared" si="314"/>
        <v>-94096.950517441597</v>
      </c>
      <c r="AV403">
        <f t="shared" si="354"/>
        <v>-1.6802709047814792</v>
      </c>
      <c r="AW403">
        <f t="shared" si="355"/>
        <v>41368.483789441467</v>
      </c>
      <c r="AX403">
        <f t="shared" si="356"/>
        <v>-13693.357704242937</v>
      </c>
      <c r="AY403">
        <f t="shared" si="364"/>
        <v>-0.31965757364071695</v>
      </c>
      <c r="BA403">
        <f t="shared" si="345"/>
        <v>2.1723849704197415</v>
      </c>
      <c r="BB403">
        <f t="shared" si="357"/>
        <v>6.7387357895527416</v>
      </c>
      <c r="BC403">
        <f t="shared" si="358"/>
        <v>-1.3606133311407622</v>
      </c>
      <c r="BD403">
        <f t="shared" si="346"/>
        <v>-257.95740151268092</v>
      </c>
      <c r="BF403">
        <f t="shared" si="347"/>
        <v>-39.233825184831844</v>
      </c>
      <c r="BG403">
        <f t="shared" si="348"/>
        <v>-168.87571953246365</v>
      </c>
      <c r="BH403">
        <f t="shared" si="359"/>
        <v>11.124280467536352</v>
      </c>
      <c r="BI403">
        <f t="shared" si="360"/>
        <v>11.124280467536352</v>
      </c>
      <c r="BJ403">
        <f t="shared" si="349"/>
        <v>0</v>
      </c>
      <c r="BK403">
        <f t="shared" si="361"/>
        <v>0</v>
      </c>
      <c r="BM403">
        <f t="shared" si="362"/>
        <v>-45.972560974384592</v>
      </c>
      <c r="BN403">
        <f t="shared" si="350"/>
        <v>-90.918318019782774</v>
      </c>
      <c r="BQ403" s="66">
        <f t="shared" si="363"/>
        <v>23.640696589837876</v>
      </c>
      <c r="BR403" s="71"/>
      <c r="BS403" s="71"/>
      <c r="BT403" s="71">
        <v>851138.03799999994</v>
      </c>
      <c r="BU403" s="71">
        <v>7.3125499999999999</v>
      </c>
      <c r="BV403" s="71">
        <v>103.205</v>
      </c>
      <c r="BY403" s="71"/>
      <c r="BZ403" s="71"/>
      <c r="CA403" s="71"/>
      <c r="CC403" s="71"/>
    </row>
    <row r="404" spans="1:81" x14ac:dyDescent="0.2">
      <c r="A404">
        <f t="shared" si="319"/>
        <v>950000</v>
      </c>
      <c r="B404">
        <f t="shared" si="351"/>
        <v>950</v>
      </c>
      <c r="C404">
        <f t="shared" si="320"/>
        <v>59.101818328676089</v>
      </c>
      <c r="D404">
        <f t="shared" si="321"/>
        <v>1.5538755661725658</v>
      </c>
      <c r="F404">
        <f t="shared" si="322"/>
        <v>5.6414061707358201E-6</v>
      </c>
      <c r="G404">
        <f t="shared" si="323"/>
        <v>9.7742481481703238E-4</v>
      </c>
      <c r="H404">
        <f t="shared" si="324"/>
        <v>-3.1406152251851833</v>
      </c>
      <c r="J404">
        <f t="shared" si="325"/>
        <v>15</v>
      </c>
      <c r="M404">
        <f t="shared" si="326"/>
        <v>3.5510517452103318E-3</v>
      </c>
      <c r="N404">
        <f t="shared" si="327"/>
        <v>-1.5707963250000001</v>
      </c>
      <c r="O404">
        <f t="shared" si="328"/>
        <v>281.50104400855054</v>
      </c>
      <c r="P404">
        <f t="shared" si="329"/>
        <v>1.5672439346296261</v>
      </c>
      <c r="Q404">
        <f t="shared" si="330"/>
        <v>390.01744312295068</v>
      </c>
      <c r="R404">
        <f t="shared" si="331"/>
        <v>1.5682323360983053</v>
      </c>
      <c r="S404">
        <f t="shared" si="332"/>
        <v>2.8192748547471648E-2</v>
      </c>
      <c r="T404">
        <f t="shared" si="333"/>
        <v>-1.5425998421655525</v>
      </c>
      <c r="U404">
        <f t="shared" si="334"/>
        <v>0.99428188341467705</v>
      </c>
      <c r="V404">
        <f t="shared" si="335"/>
        <v>-0.10699134905562667</v>
      </c>
      <c r="X404">
        <f t="shared" si="352"/>
        <v>-25.247050868551831</v>
      </c>
      <c r="Y404">
        <f t="shared" si="336"/>
        <v>-95.778541756855617</v>
      </c>
      <c r="Z404">
        <f t="shared" si="353"/>
        <v>84.221458243144383</v>
      </c>
      <c r="AC404">
        <v>1</v>
      </c>
      <c r="AD404">
        <f t="shared" si="337"/>
        <v>281.49926781060003</v>
      </c>
      <c r="AE404">
        <f t="shared" si="338"/>
        <v>-1.6802764583949087E-3</v>
      </c>
      <c r="AF404">
        <f t="shared" si="339"/>
        <v>1.5644817237735E-2</v>
      </c>
      <c r="AG404">
        <f t="shared" si="315"/>
        <v>17781.160351166818</v>
      </c>
      <c r="AH404">
        <f t="shared" si="316"/>
        <v>-1973.6417927935379</v>
      </c>
      <c r="AJ404">
        <f t="shared" si="340"/>
        <v>18000</v>
      </c>
      <c r="AK404">
        <f t="shared" si="341"/>
        <v>638208.26366219996</v>
      </c>
      <c r="AL404">
        <v>1</v>
      </c>
      <c r="AM404">
        <f t="shared" si="342"/>
        <v>390.01616112689999</v>
      </c>
      <c r="AN404">
        <f t="shared" si="317"/>
        <v>1636.471211463592</v>
      </c>
      <c r="AO404">
        <f t="shared" si="318"/>
        <v>-41.956027517567897</v>
      </c>
      <c r="AQ404">
        <f t="shared" si="343"/>
        <v>2.770082335157248E-3</v>
      </c>
      <c r="AR404">
        <f t="shared" si="344"/>
        <v>-5.2631564367987709</v>
      </c>
      <c r="AT404">
        <f t="shared" si="313"/>
        <v>-10338.33022748901</v>
      </c>
      <c r="AU404">
        <f t="shared" si="314"/>
        <v>-93590.495706260888</v>
      </c>
      <c r="AV404">
        <f t="shared" si="354"/>
        <v>-1.6808137522749178</v>
      </c>
      <c r="AW404">
        <f t="shared" si="355"/>
        <v>41366.000486963887</v>
      </c>
      <c r="AX404">
        <f t="shared" si="356"/>
        <v>-13665.814081864664</v>
      </c>
      <c r="AY404">
        <f t="shared" si="364"/>
        <v>-0.31907527017456661</v>
      </c>
      <c r="BA404">
        <f t="shared" si="345"/>
        <v>2.1613677359587742</v>
      </c>
      <c r="BB404">
        <f t="shared" si="357"/>
        <v>6.694573284085255</v>
      </c>
      <c r="BC404">
        <f t="shared" si="358"/>
        <v>-1.3617384821003511</v>
      </c>
      <c r="BD404">
        <f t="shared" si="346"/>
        <v>-258.0218679140541</v>
      </c>
      <c r="BF404">
        <f t="shared" si="347"/>
        <v>-39.323837297774979</v>
      </c>
      <c r="BG404">
        <f t="shared" si="348"/>
        <v>-168.93535366538825</v>
      </c>
      <c r="BH404">
        <f t="shared" si="359"/>
        <v>11.064646334611751</v>
      </c>
      <c r="BI404">
        <f t="shared" si="360"/>
        <v>11.064646334611751</v>
      </c>
      <c r="BJ404">
        <f t="shared" si="349"/>
        <v>0</v>
      </c>
      <c r="BK404">
        <f t="shared" si="361"/>
        <v>0</v>
      </c>
      <c r="BM404">
        <f t="shared" si="362"/>
        <v>-46.018410581860238</v>
      </c>
      <c r="BN404">
        <f t="shared" si="350"/>
        <v>-90.913485751334164</v>
      </c>
      <c r="BQ404" s="66">
        <f t="shared" si="363"/>
        <v>23.59653408437039</v>
      </c>
      <c r="BR404" s="71"/>
      <c r="BS404" s="71"/>
      <c r="BT404" s="71">
        <v>870963.59</v>
      </c>
      <c r="BU404" s="71">
        <v>7.1463099999999997</v>
      </c>
      <c r="BV404" s="71">
        <v>103.91</v>
      </c>
      <c r="BY404" s="71"/>
      <c r="BZ404" s="71"/>
      <c r="CA404" s="71"/>
      <c r="CC404" s="71"/>
    </row>
    <row r="405" spans="1:81" x14ac:dyDescent="0.2">
      <c r="A405">
        <f t="shared" si="319"/>
        <v>955000</v>
      </c>
      <c r="B405">
        <f t="shared" si="351"/>
        <v>955</v>
      </c>
      <c r="C405">
        <f t="shared" si="320"/>
        <v>59.412791711075748</v>
      </c>
      <c r="D405">
        <f t="shared" si="321"/>
        <v>1.5539641397661479</v>
      </c>
      <c r="F405">
        <f t="shared" si="322"/>
        <v>5.5824881905376923E-6</v>
      </c>
      <c r="G405">
        <f t="shared" si="323"/>
        <v>9.7230735287179781E-4</v>
      </c>
      <c r="H405">
        <f t="shared" si="324"/>
        <v>-3.1406203426471282</v>
      </c>
      <c r="J405">
        <f t="shared" si="325"/>
        <v>15</v>
      </c>
      <c r="M405">
        <f t="shared" si="326"/>
        <v>3.5324598512563514E-3</v>
      </c>
      <c r="N405">
        <f t="shared" si="327"/>
        <v>-1.5707963250000001</v>
      </c>
      <c r="O405">
        <f t="shared" si="328"/>
        <v>282.98260980288308</v>
      </c>
      <c r="P405">
        <f t="shared" si="329"/>
        <v>1.5672625333862407</v>
      </c>
      <c r="Q405">
        <f t="shared" si="330"/>
        <v>392.07015304846135</v>
      </c>
      <c r="R405">
        <f t="shared" si="331"/>
        <v>1.5682457600749939</v>
      </c>
      <c r="S405">
        <f t="shared" si="332"/>
        <v>2.8045258936936653E-2</v>
      </c>
      <c r="T405">
        <f t="shared" si="333"/>
        <v>-1.5427473901192446</v>
      </c>
      <c r="U405">
        <f t="shared" si="334"/>
        <v>0.99422205635557281</v>
      </c>
      <c r="V405">
        <f t="shared" si="335"/>
        <v>-0.10755014029680948</v>
      </c>
      <c r="X405">
        <f t="shared" si="352"/>
        <v>-25.2931471270653</v>
      </c>
      <c r="Y405">
        <f t="shared" si="336"/>
        <v>-95.812395560081271</v>
      </c>
      <c r="Z405">
        <f t="shared" si="353"/>
        <v>84.187604439918729</v>
      </c>
      <c r="AC405">
        <v>1</v>
      </c>
      <c r="AD405">
        <f t="shared" si="337"/>
        <v>282.98084290434002</v>
      </c>
      <c r="AE405">
        <f t="shared" si="338"/>
        <v>-1.6980101240638412E-3</v>
      </c>
      <c r="AF405">
        <f t="shared" si="339"/>
        <v>1.57271583810915E-2</v>
      </c>
      <c r="AG405">
        <f t="shared" si="315"/>
        <v>17779.020590714255</v>
      </c>
      <c r="AH405">
        <f t="shared" si="316"/>
        <v>-1983.1272886823767</v>
      </c>
      <c r="AJ405">
        <f t="shared" si="340"/>
        <v>18000</v>
      </c>
      <c r="AK405">
        <f t="shared" si="341"/>
        <v>641567.25452357996</v>
      </c>
      <c r="AL405">
        <v>1</v>
      </c>
      <c r="AM405">
        <f t="shared" si="342"/>
        <v>392.06887776440999</v>
      </c>
      <c r="AN405">
        <f t="shared" si="317"/>
        <v>1636.4700879788616</v>
      </c>
      <c r="AO405">
        <f t="shared" si="318"/>
        <v>-41.736365317559859</v>
      </c>
      <c r="AQ405">
        <f t="shared" si="343"/>
        <v>2.7411521775301726E-3</v>
      </c>
      <c r="AR405">
        <f t="shared" si="344"/>
        <v>-5.2356006590826292</v>
      </c>
      <c r="AT405">
        <f t="shared" si="313"/>
        <v>-10334.12753866361</v>
      </c>
      <c r="AU405">
        <f t="shared" si="314"/>
        <v>-93089.287976272884</v>
      </c>
      <c r="AV405">
        <f t="shared" si="354"/>
        <v>-1.6813567003387764</v>
      </c>
      <c r="AW405">
        <f t="shared" si="355"/>
        <v>41363.457072557052</v>
      </c>
      <c r="AX405">
        <f t="shared" si="356"/>
        <v>-13638.782073725564</v>
      </c>
      <c r="AY405">
        <f t="shared" si="364"/>
        <v>-0.31850426071022919</v>
      </c>
      <c r="BA405">
        <f t="shared" si="345"/>
        <v>2.1504595994730038</v>
      </c>
      <c r="BB405">
        <f t="shared" si="357"/>
        <v>6.650625758162553</v>
      </c>
      <c r="BC405">
        <f t="shared" si="358"/>
        <v>-1.3628524396285471</v>
      </c>
      <c r="BD405">
        <f t="shared" si="346"/>
        <v>-258.0856929790495</v>
      </c>
      <c r="BF405">
        <f t="shared" si="347"/>
        <v>-39.413393607339728</v>
      </c>
      <c r="BG405">
        <f t="shared" si="348"/>
        <v>-168.99439704626087</v>
      </c>
      <c r="BH405">
        <f t="shared" si="359"/>
        <v>11.005602953739128</v>
      </c>
      <c r="BI405">
        <f t="shared" si="360"/>
        <v>11.005602953739128</v>
      </c>
      <c r="BJ405">
        <f t="shared" si="349"/>
        <v>0</v>
      </c>
      <c r="BK405">
        <f t="shared" si="361"/>
        <v>0</v>
      </c>
      <c r="BM405">
        <f t="shared" si="362"/>
        <v>-46.064019365502283</v>
      </c>
      <c r="BN405">
        <f t="shared" si="350"/>
        <v>-90.908704067211389</v>
      </c>
      <c r="BQ405" s="66">
        <f t="shared" si="363"/>
        <v>23.552586558447686</v>
      </c>
      <c r="BR405" s="71"/>
      <c r="BS405" s="71"/>
      <c r="BT405" s="71">
        <v>891250.93799999997</v>
      </c>
      <c r="BU405" s="71">
        <v>6.8612700000000002</v>
      </c>
      <c r="BV405" s="71">
        <v>102.337</v>
      </c>
      <c r="BY405" s="71"/>
      <c r="BZ405" s="71"/>
      <c r="CA405" s="71"/>
      <c r="CC405" s="71"/>
    </row>
    <row r="406" spans="1:81" x14ac:dyDescent="0.2">
      <c r="A406">
        <f t="shared" si="319"/>
        <v>960000</v>
      </c>
      <c r="B406">
        <f t="shared" si="351"/>
        <v>960</v>
      </c>
      <c r="C406">
        <f t="shared" si="320"/>
        <v>59.72376555473155</v>
      </c>
      <c r="D406">
        <f t="shared" si="321"/>
        <v>1.5540517909781546</v>
      </c>
      <c r="F406">
        <f t="shared" si="322"/>
        <v>5.5244884105684094E-6</v>
      </c>
      <c r="G406">
        <f t="shared" si="323"/>
        <v>9.6724319866733726E-4</v>
      </c>
      <c r="H406">
        <f t="shared" si="324"/>
        <v>-3.1406254068013331</v>
      </c>
      <c r="J406">
        <f t="shared" si="325"/>
        <v>15</v>
      </c>
      <c r="M406">
        <f t="shared" si="326"/>
        <v>3.5140616228643909E-3</v>
      </c>
      <c r="N406">
        <f t="shared" si="327"/>
        <v>-1.5707963250000001</v>
      </c>
      <c r="O406">
        <f t="shared" si="328"/>
        <v>284.46417569408351</v>
      </c>
      <c r="P406">
        <f t="shared" si="329"/>
        <v>1.567280938408214</v>
      </c>
      <c r="Q406">
        <f t="shared" si="330"/>
        <v>394.12286304388829</v>
      </c>
      <c r="R406">
        <f t="shared" si="331"/>
        <v>1.5682590442194968</v>
      </c>
      <c r="S406">
        <f t="shared" si="332"/>
        <v>2.7899303873314726E-2</v>
      </c>
      <c r="T406">
        <f t="shared" si="333"/>
        <v>-1.5428934023176895</v>
      </c>
      <c r="U406">
        <f t="shared" si="334"/>
        <v>0.99416192612711862</v>
      </c>
      <c r="V406">
        <f t="shared" si="335"/>
        <v>-0.10810886412140781</v>
      </c>
      <c r="X406">
        <f t="shared" si="352"/>
        <v>-25.33900830728826</v>
      </c>
      <c r="Y406">
        <f t="shared" si="336"/>
        <v>-95.846226414561315</v>
      </c>
      <c r="Z406">
        <f t="shared" si="353"/>
        <v>84.153773585438685</v>
      </c>
      <c r="AC406">
        <v>1</v>
      </c>
      <c r="AD406">
        <f t="shared" si="337"/>
        <v>284.46241799808001</v>
      </c>
      <c r="AE406">
        <f t="shared" si="338"/>
        <v>-1.715836879841272E-3</v>
      </c>
      <c r="AF406">
        <f t="shared" si="339"/>
        <v>1.5809499524448E-2</v>
      </c>
      <c r="AG406">
        <f t="shared" si="315"/>
        <v>17776.870116914404</v>
      </c>
      <c r="AH406">
        <f t="shared" si="316"/>
        <v>-1992.6126887213959</v>
      </c>
      <c r="AJ406">
        <f t="shared" si="340"/>
        <v>18000</v>
      </c>
      <c r="AK406">
        <f t="shared" si="341"/>
        <v>644926.24538495997</v>
      </c>
      <c r="AL406">
        <v>1</v>
      </c>
      <c r="AM406">
        <f t="shared" si="342"/>
        <v>394.12159440191999</v>
      </c>
      <c r="AN406">
        <f t="shared" si="317"/>
        <v>1636.4689820026742</v>
      </c>
      <c r="AO406">
        <f t="shared" si="318"/>
        <v>-41.518991221044367</v>
      </c>
      <c r="AQ406">
        <f t="shared" si="343"/>
        <v>2.7126728752514986E-3</v>
      </c>
      <c r="AR406">
        <f t="shared" si="344"/>
        <v>-5.2083319204828777</v>
      </c>
      <c r="AT406">
        <f t="shared" ref="AT406:AT469" si="365">-AR406*AH406+AG406*AQ406</f>
        <v>-10329.965438453837</v>
      </c>
      <c r="AU406">
        <f t="shared" ref="AU406:AU469" si="366">AQ406*AH406+AG406*AR406</f>
        <v>-92593.245382595051</v>
      </c>
      <c r="AV406">
        <f t="shared" si="354"/>
        <v>-1.6818997460167486</v>
      </c>
      <c r="AW406">
        <f t="shared" si="355"/>
        <v>41360.854312597228</v>
      </c>
      <c r="AX406">
        <f t="shared" si="356"/>
        <v>-13612.253519488981</v>
      </c>
      <c r="AY406">
        <f t="shared" si="364"/>
        <v>-0.3179443746379369</v>
      </c>
      <c r="BA406">
        <f t="shared" si="345"/>
        <v>2.1396589801896839</v>
      </c>
      <c r="BB406">
        <f t="shared" si="357"/>
        <v>6.6068912162961899</v>
      </c>
      <c r="BC406">
        <f t="shared" si="358"/>
        <v>-1.3639553713788117</v>
      </c>
      <c r="BD406">
        <f t="shared" si="346"/>
        <v>-258.14888631350283</v>
      </c>
      <c r="BF406">
        <f t="shared" si="347"/>
        <v>-39.502498626375335</v>
      </c>
      <c r="BG406">
        <f t="shared" si="348"/>
        <v>-169.05285849085436</v>
      </c>
      <c r="BH406">
        <f t="shared" si="359"/>
        <v>10.947141509145638</v>
      </c>
      <c r="BI406">
        <f t="shared" si="360"/>
        <v>10.947141509145638</v>
      </c>
      <c r="BJ406">
        <f t="shared" si="349"/>
        <v>0</v>
      </c>
      <c r="BK406">
        <f t="shared" si="361"/>
        <v>0</v>
      </c>
      <c r="BM406">
        <f t="shared" si="362"/>
        <v>-46.109389842671519</v>
      </c>
      <c r="BN406">
        <f t="shared" si="350"/>
        <v>-90.903972177351534</v>
      </c>
      <c r="BQ406" s="66">
        <f t="shared" si="363"/>
        <v>23.508852016581329</v>
      </c>
      <c r="BR406" s="71"/>
      <c r="BS406" s="71"/>
      <c r="BT406" s="71">
        <v>912010.83900000004</v>
      </c>
      <c r="BU406" s="71">
        <v>6.4708399999999999</v>
      </c>
      <c r="BV406" s="71">
        <v>100.33499999999999</v>
      </c>
      <c r="BY406" s="71"/>
      <c r="BZ406" s="71"/>
      <c r="CA406" s="71"/>
      <c r="CC406" s="71"/>
    </row>
    <row r="407" spans="1:81" x14ac:dyDescent="0.2">
      <c r="A407">
        <f t="shared" si="319"/>
        <v>965000</v>
      </c>
      <c r="B407">
        <f t="shared" si="351"/>
        <v>965</v>
      </c>
      <c r="C407">
        <f t="shared" si="320"/>
        <v>60.034739852475688</v>
      </c>
      <c r="D407">
        <f t="shared" si="321"/>
        <v>1.5541385341407772</v>
      </c>
      <c r="F407">
        <f t="shared" si="322"/>
        <v>5.4673878499975039E-6</v>
      </c>
      <c r="G407">
        <f t="shared" si="323"/>
        <v>9.6223152356853078E-4</v>
      </c>
      <c r="H407">
        <f t="shared" si="324"/>
        <v>-3.1406304184764315</v>
      </c>
      <c r="J407">
        <f t="shared" si="325"/>
        <v>15</v>
      </c>
      <c r="M407">
        <f t="shared" si="326"/>
        <v>3.4958540496889279E-3</v>
      </c>
      <c r="N407">
        <f t="shared" si="327"/>
        <v>-1.5707963250000001</v>
      </c>
      <c r="O407">
        <f t="shared" si="328"/>
        <v>285.94574168064617</v>
      </c>
      <c r="P407">
        <f t="shared" si="329"/>
        <v>1.5672991527069158</v>
      </c>
      <c r="Q407">
        <f t="shared" si="330"/>
        <v>396.17557310814482</v>
      </c>
      <c r="R407">
        <f t="shared" si="331"/>
        <v>1.568272190705353</v>
      </c>
      <c r="S407">
        <f t="shared" si="332"/>
        <v>2.7754859540590975E-2</v>
      </c>
      <c r="T407">
        <f t="shared" si="333"/>
        <v>-1.5430379026080192</v>
      </c>
      <c r="U407">
        <f t="shared" si="334"/>
        <v>0.9941014928969335</v>
      </c>
      <c r="V407">
        <f t="shared" si="335"/>
        <v>-0.10866752019284849</v>
      </c>
      <c r="X407">
        <f t="shared" si="352"/>
        <v>-25.384636875003864</v>
      </c>
      <c r="Y407">
        <f t="shared" si="336"/>
        <v>-95.880034596581311</v>
      </c>
      <c r="Z407">
        <f t="shared" si="353"/>
        <v>84.119965403418689</v>
      </c>
      <c r="AC407">
        <v>1</v>
      </c>
      <c r="AD407">
        <f t="shared" si="337"/>
        <v>285.94399309182</v>
      </c>
      <c r="AE407">
        <f t="shared" si="338"/>
        <v>-1.7337567257272011E-3</v>
      </c>
      <c r="AF407">
        <f t="shared" si="339"/>
        <v>1.5891840667804503E-2</v>
      </c>
      <c r="AG407">
        <f t="shared" si="315"/>
        <v>17774.708937728672</v>
      </c>
      <c r="AH407">
        <f t="shared" si="316"/>
        <v>-2002.0979214251136</v>
      </c>
      <c r="AJ407">
        <f t="shared" si="340"/>
        <v>18000</v>
      </c>
      <c r="AK407">
        <f t="shared" si="341"/>
        <v>648285.23624633998</v>
      </c>
      <c r="AL407">
        <v>1</v>
      </c>
      <c r="AM407">
        <f t="shared" si="342"/>
        <v>396.17431103942999</v>
      </c>
      <c r="AN407">
        <f t="shared" si="317"/>
        <v>1636.4678931731053</v>
      </c>
      <c r="AO407">
        <f t="shared" si="318"/>
        <v>-41.303869662559428</v>
      </c>
      <c r="AQ407">
        <f t="shared" si="343"/>
        <v>2.6846351084230157E-3</v>
      </c>
      <c r="AR407">
        <f t="shared" si="344"/>
        <v>-5.1813457592564207</v>
      </c>
      <c r="AT407">
        <f t="shared" si="365"/>
        <v>-10325.842967135881</v>
      </c>
      <c r="AU407">
        <f t="shared" si="366"/>
        <v>-92102.287678888009</v>
      </c>
      <c r="AV407">
        <f t="shared" si="354"/>
        <v>-1.6824428864070666</v>
      </c>
      <c r="AW407">
        <f t="shared" si="355"/>
        <v>41358.192954200829</v>
      </c>
      <c r="AX407">
        <f t="shared" si="356"/>
        <v>-13586.220427247034</v>
      </c>
      <c r="AY407">
        <f t="shared" si="364"/>
        <v>-0.31739544469865594</v>
      </c>
      <c r="BA407">
        <f t="shared" si="345"/>
        <v>2.1289643270786063</v>
      </c>
      <c r="BB407">
        <f t="shared" si="357"/>
        <v>6.5633676892388753</v>
      </c>
      <c r="BC407">
        <f t="shared" si="358"/>
        <v>-1.3650474417084106</v>
      </c>
      <c r="BD407">
        <f t="shared" si="346"/>
        <v>-258.21145733439181</v>
      </c>
      <c r="BF407">
        <f t="shared" si="347"/>
        <v>-39.591156802212339</v>
      </c>
      <c r="BG407">
        <f t="shared" si="348"/>
        <v>-169.11074664244953</v>
      </c>
      <c r="BH407">
        <f t="shared" si="359"/>
        <v>10.889253357550473</v>
      </c>
      <c r="BI407">
        <f t="shared" si="360"/>
        <v>10.889253357550473</v>
      </c>
      <c r="BJ407">
        <f t="shared" si="349"/>
        <v>0</v>
      </c>
      <c r="BK407">
        <f t="shared" si="361"/>
        <v>0</v>
      </c>
      <c r="BM407">
        <f t="shared" si="362"/>
        <v>-46.154524491451212</v>
      </c>
      <c r="BN407">
        <f t="shared" si="350"/>
        <v>-90.899289308057732</v>
      </c>
      <c r="BQ407" s="66">
        <f t="shared" si="363"/>
        <v>23.465328489524012</v>
      </c>
      <c r="BR407" s="71"/>
      <c r="BS407" s="71"/>
      <c r="BT407" s="71">
        <v>933254.30099999998</v>
      </c>
      <c r="BU407" s="71">
        <v>6.2453099999999999</v>
      </c>
      <c r="BV407" s="71">
        <v>100.20399999999999</v>
      </c>
      <c r="BY407" s="71"/>
      <c r="BZ407" s="71"/>
      <c r="CA407" s="71"/>
      <c r="CC407" s="71"/>
    </row>
    <row r="408" spans="1:81" x14ac:dyDescent="0.2">
      <c r="A408">
        <f t="shared" si="319"/>
        <v>970000</v>
      </c>
      <c r="B408">
        <f t="shared" si="351"/>
        <v>970</v>
      </c>
      <c r="C408">
        <f t="shared" si="320"/>
        <v>60.345714597288136</v>
      </c>
      <c r="D408">
        <f t="shared" si="321"/>
        <v>1.5542243832908351</v>
      </c>
      <c r="F408">
        <f t="shared" si="322"/>
        <v>5.4111680159319773E-6</v>
      </c>
      <c r="G408">
        <f t="shared" si="323"/>
        <v>9.5727151602596349E-4</v>
      </c>
      <c r="H408">
        <f t="shared" si="324"/>
        <v>-3.1406353784839744</v>
      </c>
      <c r="J408">
        <f t="shared" si="325"/>
        <v>15</v>
      </c>
      <c r="M408">
        <f t="shared" si="326"/>
        <v>3.4778341834534178E-3</v>
      </c>
      <c r="N408">
        <f t="shared" si="327"/>
        <v>-1.5707963250000001</v>
      </c>
      <c r="O408">
        <f t="shared" si="328"/>
        <v>287.42730776109642</v>
      </c>
      <c r="P408">
        <f t="shared" si="329"/>
        <v>1.5673171792316272</v>
      </c>
      <c r="Q408">
        <f t="shared" si="330"/>
        <v>398.2282832401666</v>
      </c>
      <c r="R408">
        <f t="shared" si="331"/>
        <v>1.568285201661286</v>
      </c>
      <c r="S408">
        <f t="shared" si="332"/>
        <v>2.7611902612856051E-2</v>
      </c>
      <c r="T408">
        <f t="shared" si="333"/>
        <v>-1.5431809143463031</v>
      </c>
      <c r="U408">
        <f t="shared" si="334"/>
        <v>0.99404075683342652</v>
      </c>
      <c r="V408">
        <f t="shared" si="335"/>
        <v>-0.1092261081748091</v>
      </c>
      <c r="X408">
        <f t="shared" si="352"/>
        <v>-25.430035257816897</v>
      </c>
      <c r="Y408">
        <f t="shared" si="336"/>
        <v>-95.913820376375298</v>
      </c>
      <c r="Z408">
        <f t="shared" si="353"/>
        <v>84.086179623624702</v>
      </c>
      <c r="AC408">
        <v>1</v>
      </c>
      <c r="AD408">
        <f t="shared" si="337"/>
        <v>287.42556818556005</v>
      </c>
      <c r="AE408">
        <f t="shared" si="338"/>
        <v>-1.7517696617216285E-3</v>
      </c>
      <c r="AF408">
        <f t="shared" si="339"/>
        <v>1.5974181811161E-2</v>
      </c>
      <c r="AG408">
        <f t="shared" si="315"/>
        <v>17772.537061155195</v>
      </c>
      <c r="AH408">
        <f t="shared" si="316"/>
        <v>-2011.582916447318</v>
      </c>
      <c r="AJ408">
        <f t="shared" si="340"/>
        <v>18000</v>
      </c>
      <c r="AK408">
        <f t="shared" si="341"/>
        <v>651644.22710771998</v>
      </c>
      <c r="AL408">
        <v>1</v>
      </c>
      <c r="AM408">
        <f t="shared" si="342"/>
        <v>398.22702767694</v>
      </c>
      <c r="AN408">
        <f t="shared" si="317"/>
        <v>1636.4668211375317</v>
      </c>
      <c r="AO408">
        <f t="shared" si="318"/>
        <v>-41.090965809928193</v>
      </c>
      <c r="AQ408">
        <f t="shared" si="343"/>
        <v>2.6570297967292494E-3</v>
      </c>
      <c r="AR408">
        <f t="shared" si="344"/>
        <v>-5.1546378056547439</v>
      </c>
      <c r="AT408">
        <f t="shared" si="365"/>
        <v>-10321.759189793609</v>
      </c>
      <c r="AU408">
        <f t="shared" si="366"/>
        <v>-91616.336273578214</v>
      </c>
      <c r="AV408">
        <f t="shared" si="354"/>
        <v>-1.6829861186611028</v>
      </c>
      <c r="AW408">
        <f t="shared" si="355"/>
        <v>41355.473725821066</v>
      </c>
      <c r="AX408">
        <f t="shared" si="356"/>
        <v>-13560.674969179321</v>
      </c>
      <c r="AY408">
        <f t="shared" si="364"/>
        <v>-0.31685730690294794</v>
      </c>
      <c r="BA408">
        <f t="shared" si="345"/>
        <v>2.1183741181726181</v>
      </c>
      <c r="BB408">
        <f t="shared" si="357"/>
        <v>6.5200532335580617</v>
      </c>
      <c r="BC408">
        <f t="shared" si="358"/>
        <v>-1.3661288117581549</v>
      </c>
      <c r="BD408">
        <f t="shared" si="346"/>
        <v>-258.27341527440478</v>
      </c>
      <c r="BF408">
        <f t="shared" si="347"/>
        <v>-39.679372517902131</v>
      </c>
      <c r="BG408">
        <f t="shared" si="348"/>
        <v>-169.16806997598269</v>
      </c>
      <c r="BH408">
        <f t="shared" si="359"/>
        <v>10.831930024017311</v>
      </c>
      <c r="BI408">
        <f t="shared" si="360"/>
        <v>10.831930024017311</v>
      </c>
      <c r="BJ408">
        <f t="shared" si="349"/>
        <v>0</v>
      </c>
      <c r="BK408">
        <f t="shared" si="361"/>
        <v>0</v>
      </c>
      <c r="BM408">
        <f t="shared" si="362"/>
        <v>-46.199425751460197</v>
      </c>
      <c r="BN408">
        <f t="shared" si="350"/>
        <v>-90.894654701577892</v>
      </c>
      <c r="BQ408" s="66">
        <f t="shared" si="363"/>
        <v>23.422014033843197</v>
      </c>
      <c r="BR408" s="71"/>
      <c r="BS408" s="71"/>
      <c r="BT408" s="71">
        <v>954992.58600000001</v>
      </c>
      <c r="BU408" s="71">
        <v>6.1328699999999996</v>
      </c>
      <c r="BV408" s="71">
        <v>99.956599999999995</v>
      </c>
      <c r="BY408" s="71"/>
      <c r="BZ408" s="71"/>
      <c r="CA408" s="71"/>
      <c r="CC408" s="71"/>
    </row>
    <row r="409" spans="1:81" x14ac:dyDescent="0.2">
      <c r="A409">
        <f t="shared" si="319"/>
        <v>975000</v>
      </c>
      <c r="B409">
        <f t="shared" si="351"/>
        <v>975</v>
      </c>
      <c r="C409">
        <f t="shared" si="320"/>
        <v>60.656689782292815</v>
      </c>
      <c r="D409">
        <f t="shared" si="321"/>
        <v>1.5543093521773446</v>
      </c>
      <c r="F409">
        <f t="shared" si="322"/>
        <v>5.3558108884412992E-6</v>
      </c>
      <c r="G409">
        <f t="shared" si="323"/>
        <v>9.5236238113781651E-4</v>
      </c>
      <c r="H409">
        <f t="shared" si="324"/>
        <v>-3.1406402876188624</v>
      </c>
      <c r="J409">
        <f t="shared" si="325"/>
        <v>15</v>
      </c>
      <c r="M409">
        <f t="shared" si="326"/>
        <v>3.4599991363587846E-3</v>
      </c>
      <c r="N409">
        <f t="shared" si="327"/>
        <v>-1.5707963250000001</v>
      </c>
      <c r="O409">
        <f t="shared" si="328"/>
        <v>288.90887393398981</v>
      </c>
      <c r="P409">
        <f t="shared" si="329"/>
        <v>1.5673350208711319</v>
      </c>
      <c r="Q409">
        <f t="shared" si="330"/>
        <v>400.28099343891097</v>
      </c>
      <c r="R409">
        <f t="shared" si="331"/>
        <v>1.5682980791723544</v>
      </c>
      <c r="S409">
        <f t="shared" si="332"/>
        <v>2.7470410241768162E-2</v>
      </c>
      <c r="T409">
        <f t="shared" si="333"/>
        <v>-1.5433224604101203</v>
      </c>
      <c r="U409">
        <f t="shared" si="334"/>
        <v>0.99397971810579511</v>
      </c>
      <c r="V409">
        <f t="shared" si="335"/>
        <v>-0.10978462773121923</v>
      </c>
      <c r="X409">
        <f t="shared" si="352"/>
        <v>-25.475205845937019</v>
      </c>
      <c r="Y409">
        <f t="shared" si="336"/>
        <v>-95.947584018280295</v>
      </c>
      <c r="Z409">
        <f t="shared" si="353"/>
        <v>84.052415981719705</v>
      </c>
      <c r="AC409">
        <v>1</v>
      </c>
      <c r="AD409">
        <f t="shared" si="337"/>
        <v>288.90714327930004</v>
      </c>
      <c r="AE409">
        <f t="shared" si="338"/>
        <v>-1.7698756878245544E-3</v>
      </c>
      <c r="AF409">
        <f t="shared" si="339"/>
        <v>1.60565229545175E-2</v>
      </c>
      <c r="AG409">
        <f t="shared" si="315"/>
        <v>17770.354495228694</v>
      </c>
      <c r="AH409">
        <f t="shared" si="316"/>
        <v>-2021.0676045525083</v>
      </c>
      <c r="AJ409">
        <f t="shared" si="340"/>
        <v>18000</v>
      </c>
      <c r="AK409">
        <f t="shared" si="341"/>
        <v>655003.21796909999</v>
      </c>
      <c r="AL409">
        <v>1</v>
      </c>
      <c r="AM409">
        <f t="shared" si="342"/>
        <v>400.27974431445</v>
      </c>
      <c r="AN409">
        <f t="shared" si="317"/>
        <v>1636.4657655523504</v>
      </c>
      <c r="AO409">
        <f t="shared" si="318"/>
        <v>-40.88024554545747</v>
      </c>
      <c r="AQ409">
        <f t="shared" si="343"/>
        <v>2.6298480920846569E-3</v>
      </c>
      <c r="AR409">
        <f t="shared" si="344"/>
        <v>-5.128203779565081</v>
      </c>
      <c r="AT409">
        <f t="shared" si="365"/>
        <v>-10317.713195557772</v>
      </c>
      <c r="AU409">
        <f t="shared" si="366"/>
        <v>-91135.31418742692</v>
      </c>
      <c r="AV409">
        <f t="shared" si="354"/>
        <v>-1.6835294399820147</v>
      </c>
      <c r="AW409">
        <f t="shared" si="355"/>
        <v>41352.697337822901</v>
      </c>
      <c r="AX409">
        <f t="shared" si="356"/>
        <v>-13535.609477345253</v>
      </c>
      <c r="AY409">
        <f t="shared" si="364"/>
        <v>-0.31632980045215464</v>
      </c>
      <c r="BA409">
        <f t="shared" si="345"/>
        <v>2.1078868599061571</v>
      </c>
      <c r="BB409">
        <f t="shared" si="357"/>
        <v>6.4769459312172355</v>
      </c>
      <c r="BC409">
        <f t="shared" si="358"/>
        <v>-1.36719963952986</v>
      </c>
      <c r="BD409">
        <f t="shared" si="346"/>
        <v>-258.33476918637899</v>
      </c>
      <c r="BF409">
        <f t="shared" si="347"/>
        <v>-39.767150093427787</v>
      </c>
      <c r="BG409">
        <f t="shared" si="348"/>
        <v>-169.22483680207489</v>
      </c>
      <c r="BH409">
        <f t="shared" si="359"/>
        <v>10.77516319792511</v>
      </c>
      <c r="BI409">
        <f t="shared" si="360"/>
        <v>10.77516319792511</v>
      </c>
      <c r="BJ409">
        <f t="shared" si="349"/>
        <v>0</v>
      </c>
      <c r="BK409">
        <f t="shared" si="361"/>
        <v>0</v>
      </c>
      <c r="BM409">
        <f t="shared" si="362"/>
        <v>-46.244096024645025</v>
      </c>
      <c r="BN409">
        <f t="shared" si="350"/>
        <v>-90.890067615695884</v>
      </c>
      <c r="BQ409" s="66">
        <f t="shared" si="363"/>
        <v>23.378906731502372</v>
      </c>
      <c r="BR409" s="71"/>
      <c r="BS409" s="71"/>
      <c r="BT409" s="71">
        <v>977237.22100000002</v>
      </c>
      <c r="BU409" s="71">
        <v>5.7547600000000001</v>
      </c>
      <c r="BV409" s="71">
        <v>98.699600000000004</v>
      </c>
      <c r="BY409" s="71"/>
      <c r="BZ409" s="71"/>
      <c r="CA409" s="71"/>
      <c r="CC409" s="71"/>
    </row>
    <row r="410" spans="1:81" x14ac:dyDescent="0.2">
      <c r="A410">
        <f t="shared" si="319"/>
        <v>980000</v>
      </c>
      <c r="B410">
        <f t="shared" si="351"/>
        <v>980</v>
      </c>
      <c r="C410">
        <f t="shared" si="320"/>
        <v>60.967665400753901</v>
      </c>
      <c r="D410">
        <f t="shared" si="321"/>
        <v>1.5543934542688569</v>
      </c>
      <c r="F410">
        <f t="shared" si="322"/>
        <v>5.3012989061158491E-6</v>
      </c>
      <c r="G410">
        <f t="shared" si="323"/>
        <v>9.4750334022517099E-4</v>
      </c>
      <c r="H410">
        <f t="shared" si="324"/>
        <v>-3.1406451466597751</v>
      </c>
      <c r="J410">
        <f t="shared" si="325"/>
        <v>15</v>
      </c>
      <c r="M410">
        <f t="shared" si="326"/>
        <v>3.4423460795406282E-3</v>
      </c>
      <c r="N410">
        <f t="shared" si="327"/>
        <v>-1.5707963250000001</v>
      </c>
      <c r="O410">
        <f t="shared" si="328"/>
        <v>290.3904401979114</v>
      </c>
      <c r="P410">
        <f t="shared" si="329"/>
        <v>1.5673526804552609</v>
      </c>
      <c r="Q410">
        <f t="shared" si="330"/>
        <v>402.33370370335672</v>
      </c>
      <c r="R410">
        <f t="shared" si="331"/>
        <v>1.5683108252810645</v>
      </c>
      <c r="S410">
        <f t="shared" si="332"/>
        <v>2.7330360044397945E-2</v>
      </c>
      <c r="T410">
        <f t="shared" si="333"/>
        <v>-1.5434625632107484</v>
      </c>
      <c r="U410">
        <f t="shared" si="334"/>
        <v>0.9939183768840244</v>
      </c>
      <c r="V410">
        <f t="shared" si="335"/>
        <v>-0.11034307852626149</v>
      </c>
      <c r="X410">
        <f t="shared" si="352"/>
        <v>-25.520150992942099</v>
      </c>
      <c r="Y410">
        <f t="shared" si="336"/>
        <v>-95.981325780886493</v>
      </c>
      <c r="Z410">
        <f t="shared" si="353"/>
        <v>84.018674219113507</v>
      </c>
      <c r="AC410">
        <v>1</v>
      </c>
      <c r="AD410">
        <f t="shared" si="337"/>
        <v>290.38871837304004</v>
      </c>
      <c r="AE410">
        <f t="shared" si="338"/>
        <v>-1.7880748040359784E-3</v>
      </c>
      <c r="AF410">
        <f t="shared" si="339"/>
        <v>1.6138864097874E-2</v>
      </c>
      <c r="AG410">
        <f t="shared" si="315"/>
        <v>17768.161248020464</v>
      </c>
      <c r="AH410">
        <f t="shared" si="316"/>
        <v>-2030.5519175882282</v>
      </c>
      <c r="AJ410">
        <f t="shared" si="340"/>
        <v>18000</v>
      </c>
      <c r="AK410">
        <f t="shared" si="341"/>
        <v>658362.20883048</v>
      </c>
      <c r="AL410">
        <v>1</v>
      </c>
      <c r="AM410">
        <f t="shared" si="342"/>
        <v>402.33246095196</v>
      </c>
      <c r="AN410">
        <f t="shared" si="317"/>
        <v>1636.4647260826998</v>
      </c>
      <c r="AO410">
        <f t="shared" si="318"/>
        <v>-40.671675447711806</v>
      </c>
      <c r="AQ410">
        <f t="shared" si="343"/>
        <v>2.6030813715427498E-3</v>
      </c>
      <c r="AR410">
        <f t="shared" si="344"/>
        <v>-5.1020394882237898</v>
      </c>
      <c r="AT410">
        <f t="shared" si="365"/>
        <v>-10313.70409687239</v>
      </c>
      <c r="AU410">
        <f t="shared" si="366"/>
        <v>-90659.14601239872</v>
      </c>
      <c r="AV410">
        <f t="shared" si="354"/>
        <v>-1.6840728476234312</v>
      </c>
      <c r="AW410">
        <f t="shared" si="355"/>
        <v>41349.864483037782</v>
      </c>
      <c r="AX410">
        <f t="shared" si="356"/>
        <v>-13511.016439605286</v>
      </c>
      <c r="AY410">
        <f t="shared" si="364"/>
        <v>-0.31581276766182553</v>
      </c>
      <c r="BA410">
        <f t="shared" si="345"/>
        <v>2.097501086471278</v>
      </c>
      <c r="BB410">
        <f t="shared" si="357"/>
        <v>6.43404388916478</v>
      </c>
      <c r="BC410">
        <f t="shared" si="358"/>
        <v>-1.3682600799616056</v>
      </c>
      <c r="BD410">
        <f t="shared" si="346"/>
        <v>-258.39552794761249</v>
      </c>
      <c r="BF410">
        <f t="shared" si="347"/>
        <v>-39.854493786887161</v>
      </c>
      <c r="BG410">
        <f t="shared" si="348"/>
        <v>-169.28105527094806</v>
      </c>
      <c r="BH410">
        <f t="shared" si="359"/>
        <v>10.718944729051941</v>
      </c>
      <c r="BI410">
        <f t="shared" si="360"/>
        <v>10.718944729051941</v>
      </c>
      <c r="BJ410">
        <f t="shared" si="349"/>
        <v>0</v>
      </c>
      <c r="BK410">
        <f t="shared" si="361"/>
        <v>0</v>
      </c>
      <c r="BM410">
        <f t="shared" si="362"/>
        <v>-46.288537676051938</v>
      </c>
      <c r="BN410">
        <f t="shared" si="350"/>
        <v>-90.88552732333558</v>
      </c>
      <c r="BQ410" s="66">
        <f t="shared" si="363"/>
        <v>23.336004689449918</v>
      </c>
    </row>
    <row r="411" spans="1:81" x14ac:dyDescent="0.2">
      <c r="A411">
        <f t="shared" si="319"/>
        <v>985000</v>
      </c>
      <c r="B411">
        <f t="shared" si="351"/>
        <v>985</v>
      </c>
      <c r="C411">
        <f t="shared" si="320"/>
        <v>61.278641446072307</v>
      </c>
      <c r="D411">
        <f t="shared" si="321"/>
        <v>1.5544767027605728</v>
      </c>
      <c r="F411">
        <f t="shared" si="322"/>
        <v>5.2476149521372333E-6</v>
      </c>
      <c r="G411">
        <f t="shared" si="323"/>
        <v>9.4269363042024637E-4</v>
      </c>
      <c r="H411">
        <f t="shared" si="324"/>
        <v>-3.1406499563695798</v>
      </c>
      <c r="J411">
        <f t="shared" si="325"/>
        <v>15</v>
      </c>
      <c r="M411">
        <f t="shared" si="326"/>
        <v>3.4248722415734165E-3</v>
      </c>
      <c r="N411">
        <f t="shared" si="327"/>
        <v>-1.5707963250000001</v>
      </c>
      <c r="O411">
        <f t="shared" si="328"/>
        <v>291.87200655147507</v>
      </c>
      <c r="P411">
        <f t="shared" si="329"/>
        <v>1.567370160756387</v>
      </c>
      <c r="Q411">
        <f t="shared" si="330"/>
        <v>404.3864140325033</v>
      </c>
      <c r="R411">
        <f t="shared" si="331"/>
        <v>1.5683234419884511</v>
      </c>
      <c r="S411">
        <f t="shared" si="332"/>
        <v>2.7191730091442514E-2</v>
      </c>
      <c r="T411">
        <f t="shared" si="333"/>
        <v>-1.5436012447049798</v>
      </c>
      <c r="U411">
        <f t="shared" si="334"/>
        <v>0.99385673333888491</v>
      </c>
      <c r="V411">
        <f t="shared" si="335"/>
        <v>-0.11090146022437272</v>
      </c>
      <c r="X411">
        <f t="shared" si="352"/>
        <v>-25.564873016522107</v>
      </c>
      <c r="Y411">
        <f t="shared" si="336"/>
        <v>-96.015045917182746</v>
      </c>
      <c r="Z411">
        <f t="shared" si="353"/>
        <v>83.984954082817254</v>
      </c>
      <c r="AC411">
        <v>1</v>
      </c>
      <c r="AD411">
        <f t="shared" si="337"/>
        <v>291.87029346678003</v>
      </c>
      <c r="AE411">
        <f t="shared" si="338"/>
        <v>-1.8063670103559012E-3</v>
      </c>
      <c r="AF411">
        <f t="shared" si="339"/>
        <v>1.62212052412305E-2</v>
      </c>
      <c r="AG411">
        <f t="shared" si="315"/>
        <v>17765.957327638291</v>
      </c>
      <c r="AH411">
        <f t="shared" si="316"/>
        <v>-2040.0357884582338</v>
      </c>
      <c r="AJ411">
        <f t="shared" si="340"/>
        <v>18000</v>
      </c>
      <c r="AK411">
        <f t="shared" si="341"/>
        <v>661721.19969185989</v>
      </c>
      <c r="AL411">
        <v>1</v>
      </c>
      <c r="AM411">
        <f t="shared" si="342"/>
        <v>404.38517758947</v>
      </c>
      <c r="AN411">
        <f t="shared" si="317"/>
        <v>1636.4637024021963</v>
      </c>
      <c r="AO411">
        <f t="shared" si="318"/>
        <v>-40.465222773842598</v>
      </c>
      <c r="AQ411">
        <f t="shared" si="343"/>
        <v>2.5767212304565359E-3</v>
      </c>
      <c r="AR411">
        <f t="shared" si="344"/>
        <v>-5.0761408239993751</v>
      </c>
      <c r="AT411">
        <f t="shared" si="365"/>
        <v>-10309.731028787082</v>
      </c>
      <c r="AU411">
        <f t="shared" si="366"/>
        <v>-90187.757871782582</v>
      </c>
      <c r="AV411">
        <f t="shared" si="354"/>
        <v>-1.6846163388881801</v>
      </c>
      <c r="AW411">
        <f t="shared" si="355"/>
        <v>41346.975837298705</v>
      </c>
      <c r="AX411">
        <f t="shared" si="356"/>
        <v>-13486.888495666459</v>
      </c>
      <c r="AY411">
        <f t="shared" si="364"/>
        <v>-0.31530605388731836</v>
      </c>
      <c r="BA411">
        <f t="shared" si="345"/>
        <v>2.0872153591906311</v>
      </c>
      <c r="BB411">
        <f t="shared" si="357"/>
        <v>6.391345238930243</v>
      </c>
      <c r="BC411">
        <f t="shared" si="358"/>
        <v>-1.3693102850008616</v>
      </c>
      <c r="BD411">
        <f t="shared" si="346"/>
        <v>-258.45570026405397</v>
      </c>
      <c r="BF411">
        <f t="shared" si="347"/>
        <v>-39.94140779564875</v>
      </c>
      <c r="BG411">
        <f t="shared" si="348"/>
        <v>-169.3367333762308</v>
      </c>
      <c r="BH411">
        <f t="shared" si="359"/>
        <v>10.663266623769204</v>
      </c>
      <c r="BI411">
        <f t="shared" si="360"/>
        <v>10.663266623769204</v>
      </c>
      <c r="BJ411">
        <f t="shared" si="349"/>
        <v>0</v>
      </c>
      <c r="BK411">
        <f t="shared" si="361"/>
        <v>0</v>
      </c>
      <c r="BM411">
        <f t="shared" si="362"/>
        <v>-46.332753034579</v>
      </c>
      <c r="BN411">
        <f t="shared" si="350"/>
        <v>-90.881033112176794</v>
      </c>
      <c r="BQ411" s="66">
        <f t="shared" si="363"/>
        <v>23.293306039215377</v>
      </c>
    </row>
    <row r="412" spans="1:81" x14ac:dyDescent="0.2">
      <c r="A412">
        <f t="shared" si="319"/>
        <v>990000</v>
      </c>
      <c r="B412">
        <f t="shared" si="351"/>
        <v>990</v>
      </c>
      <c r="C412">
        <f t="shared" si="320"/>
        <v>61.589617911782227</v>
      </c>
      <c r="D412">
        <f t="shared" si="321"/>
        <v>1.5545591105812415</v>
      </c>
      <c r="F412">
        <f t="shared" si="322"/>
        <v>5.1947423408398004E-6</v>
      </c>
      <c r="G412">
        <f t="shared" si="323"/>
        <v>9.3793250426711726E-4</v>
      </c>
      <c r="H412">
        <f t="shared" si="324"/>
        <v>-3.1406547174957331</v>
      </c>
      <c r="J412">
        <f t="shared" si="325"/>
        <v>15</v>
      </c>
      <c r="M412">
        <f t="shared" si="326"/>
        <v>3.4075749070200155E-3</v>
      </c>
      <c r="N412">
        <f t="shared" si="327"/>
        <v>-1.5707963250000001</v>
      </c>
      <c r="O412">
        <f t="shared" si="328"/>
        <v>293.35357299332253</v>
      </c>
      <c r="P412">
        <f t="shared" si="329"/>
        <v>1.5673874644908772</v>
      </c>
      <c r="Q412">
        <f t="shared" si="330"/>
        <v>406.43912442537049</v>
      </c>
      <c r="R412">
        <f t="shared" si="331"/>
        <v>1.5683359312551244</v>
      </c>
      <c r="S412">
        <f t="shared" si="332"/>
        <v>2.7054498895795788E-2</v>
      </c>
      <c r="T412">
        <f t="shared" si="333"/>
        <v>-1.5437385264065826</v>
      </c>
      <c r="U412">
        <f t="shared" si="334"/>
        <v>0.99379478764193285</v>
      </c>
      <c r="V412">
        <f t="shared" si="335"/>
        <v>-0.11145977249024523</v>
      </c>
      <c r="X412">
        <f t="shared" si="352"/>
        <v>-25.609374199204215</v>
      </c>
      <c r="Y412">
        <f t="shared" si="336"/>
        <v>-96.048744674697787</v>
      </c>
      <c r="Z412">
        <f t="shared" si="353"/>
        <v>83.951255325302213</v>
      </c>
      <c r="AC412">
        <v>1</v>
      </c>
      <c r="AD412">
        <f t="shared" si="337"/>
        <v>293.35186856052002</v>
      </c>
      <c r="AE412">
        <f t="shared" si="338"/>
        <v>-1.8247523067843217E-3</v>
      </c>
      <c r="AF412">
        <f t="shared" si="339"/>
        <v>1.6303546384587E-2</v>
      </c>
      <c r="AG412">
        <f t="shared" si="315"/>
        <v>17763.742742226357</v>
      </c>
      <c r="AH412">
        <f t="shared" si="316"/>
        <v>-2049.5191510964778</v>
      </c>
      <c r="AJ412">
        <f t="shared" si="340"/>
        <v>18000</v>
      </c>
      <c r="AK412">
        <f t="shared" si="341"/>
        <v>665080.19055324001</v>
      </c>
      <c r="AL412">
        <v>1</v>
      </c>
      <c r="AM412">
        <f t="shared" si="342"/>
        <v>406.43789422698001</v>
      </c>
      <c r="AN412">
        <f t="shared" si="317"/>
        <v>1636.4626941926783</v>
      </c>
      <c r="AO412">
        <f t="shared" si="318"/>
        <v>-40.260855442452694</v>
      </c>
      <c r="AQ412">
        <f t="shared" si="343"/>
        <v>2.5507594758801457E-3</v>
      </c>
      <c r="AR412">
        <f t="shared" si="344"/>
        <v>-5.0505037622426894</v>
      </c>
      <c r="AT412">
        <f t="shared" si="365"/>
        <v>-10305.793148274373</v>
      </c>
      <c r="AU412">
        <f t="shared" si="366"/>
        <v>-89721.077381521143</v>
      </c>
      <c r="AV412">
        <f t="shared" si="354"/>
        <v>-1.6851599111270528</v>
      </c>
      <c r="AW412">
        <f t="shared" si="355"/>
        <v>41344.032059956204</v>
      </c>
      <c r="AX412">
        <f t="shared" si="356"/>
        <v>-13463.218433247788</v>
      </c>
      <c r="AY412">
        <f t="shared" si="364"/>
        <v>-0.31480950745149894</v>
      </c>
      <c r="BA412">
        <f t="shared" si="345"/>
        <v>2.0770282659069155</v>
      </c>
      <c r="BB412">
        <f t="shared" si="357"/>
        <v>6.3488481362279323</v>
      </c>
      <c r="BC412">
        <f t="shared" si="358"/>
        <v>-1.3703504036755538</v>
      </c>
      <c r="BD412">
        <f t="shared" si="346"/>
        <v>-258.51529467437467</v>
      </c>
      <c r="BF412">
        <f t="shared" si="347"/>
        <v>-40.027896257481295</v>
      </c>
      <c r="BG412">
        <f t="shared" si="348"/>
        <v>-169.39187895865751</v>
      </c>
      <c r="BH412">
        <f t="shared" si="359"/>
        <v>10.608121041342486</v>
      </c>
      <c r="BI412">
        <f t="shared" si="360"/>
        <v>10.608121041342486</v>
      </c>
      <c r="BJ412">
        <f t="shared" si="349"/>
        <v>0</v>
      </c>
      <c r="BK412">
        <f t="shared" si="361"/>
        <v>0</v>
      </c>
      <c r="BM412">
        <f t="shared" si="362"/>
        <v>-46.376744393709224</v>
      </c>
      <c r="BN412">
        <f t="shared" si="350"/>
        <v>-90.876584284282842</v>
      </c>
      <c r="BQ412" s="66">
        <f t="shared" si="363"/>
        <v>23.250808936513071</v>
      </c>
    </row>
    <row r="413" spans="1:81" x14ac:dyDescent="0.2">
      <c r="A413">
        <f t="shared" si="319"/>
        <v>995000</v>
      </c>
      <c r="B413">
        <f t="shared" si="351"/>
        <v>995</v>
      </c>
      <c r="C413">
        <f t="shared" si="320"/>
        <v>61.900594791547753</v>
      </c>
      <c r="D413">
        <f t="shared" si="321"/>
        <v>1.5546406903998524</v>
      </c>
      <c r="F413">
        <f t="shared" si="322"/>
        <v>5.1426648047436904E-6</v>
      </c>
      <c r="G413">
        <f t="shared" si="323"/>
        <v>9.3321922933447014E-4</v>
      </c>
      <c r="H413">
        <f t="shared" si="324"/>
        <v>-3.1406594307706657</v>
      </c>
      <c r="J413">
        <f t="shared" si="325"/>
        <v>15</v>
      </c>
      <c r="M413">
        <f t="shared" si="326"/>
        <v>3.3904514150249398E-3</v>
      </c>
      <c r="N413">
        <f t="shared" si="327"/>
        <v>-1.5707963250000001</v>
      </c>
      <c r="O413">
        <f t="shared" si="328"/>
        <v>294.83513952212297</v>
      </c>
      <c r="P413">
        <f t="shared" si="329"/>
        <v>1.5674045943204988</v>
      </c>
      <c r="Q413">
        <f t="shared" si="330"/>
        <v>408.4918348809976</v>
      </c>
      <c r="R413">
        <f t="shared" si="331"/>
        <v>1.5683482950022858</v>
      </c>
      <c r="S413">
        <f t="shared" si="332"/>
        <v>2.6918645401462469E-2</v>
      </c>
      <c r="T413">
        <f t="shared" si="333"/>
        <v>-1.5438744293974147</v>
      </c>
      <c r="U413">
        <f t="shared" si="334"/>
        <v>0.99373253996550726</v>
      </c>
      <c r="V413">
        <f t="shared" si="335"/>
        <v>-0.11201801498882778</v>
      </c>
      <c r="X413">
        <f t="shared" si="352"/>
        <v>-25.653656789059809</v>
      </c>
      <c r="Y413">
        <f t="shared" si="336"/>
        <v>-96.082422295636832</v>
      </c>
      <c r="Z413">
        <f t="shared" si="353"/>
        <v>83.917577704363168</v>
      </c>
      <c r="AC413">
        <v>1</v>
      </c>
      <c r="AD413">
        <f t="shared" si="337"/>
        <v>294.83344365426001</v>
      </c>
      <c r="AE413">
        <f t="shared" si="338"/>
        <v>-1.8432306933212411E-3</v>
      </c>
      <c r="AF413">
        <f t="shared" si="339"/>
        <v>1.63858875279435E-2</v>
      </c>
      <c r="AG413">
        <f t="shared" si="315"/>
        <v>17761.517499965168</v>
      </c>
      <c r="AH413">
        <f t="shared" si="316"/>
        <v>-2059.0019404418858</v>
      </c>
      <c r="AJ413">
        <f t="shared" si="340"/>
        <v>18000</v>
      </c>
      <c r="AK413">
        <f t="shared" si="341"/>
        <v>668439.18141462002</v>
      </c>
      <c r="AL413">
        <v>1</v>
      </c>
      <c r="AM413">
        <f t="shared" si="342"/>
        <v>408.49061086449001</v>
      </c>
      <c r="AN413">
        <f t="shared" si="317"/>
        <v>1636.4617011439559</v>
      </c>
      <c r="AO413">
        <f t="shared" si="318"/>
        <v>-40.058542016977661</v>
      </c>
      <c r="AQ413">
        <f t="shared" si="343"/>
        <v>2.5251881202019849E-3</v>
      </c>
      <c r="AR413">
        <f t="shared" si="344"/>
        <v>-5.0251243592019499</v>
      </c>
      <c r="AT413">
        <f t="shared" si="365"/>
        <v>-10301.889633570931</v>
      </c>
      <c r="AU413">
        <f t="shared" si="366"/>
        <v>-89259.03361270616</v>
      </c>
      <c r="AV413">
        <f t="shared" si="354"/>
        <v>-1.6857035617376059</v>
      </c>
      <c r="AW413">
        <f t="shared" si="355"/>
        <v>41341.033794376272</v>
      </c>
      <c r="AX413">
        <f t="shared" si="356"/>
        <v>-13439.999184361346</v>
      </c>
      <c r="AY413">
        <f t="shared" si="364"/>
        <v>-0.31432297957447553</v>
      </c>
      <c r="BA413">
        <f t="shared" si="345"/>
        <v>2.0669384203883108</v>
      </c>
      <c r="BB413">
        <f t="shared" si="357"/>
        <v>6.3065507605676974</v>
      </c>
      <c r="BC413">
        <f t="shared" si="358"/>
        <v>-1.3713805821631304</v>
      </c>
      <c r="BD413">
        <f t="shared" si="346"/>
        <v>-258.57431955392542</v>
      </c>
      <c r="BF413">
        <f t="shared" si="347"/>
        <v>-40.113963251657587</v>
      </c>
      <c r="BG413">
        <f t="shared" si="348"/>
        <v>-169.44649970966472</v>
      </c>
      <c r="BH413">
        <f t="shared" si="359"/>
        <v>10.553500290335279</v>
      </c>
      <c r="BI413">
        <f t="shared" si="360"/>
        <v>10.553500290335279</v>
      </c>
      <c r="BJ413">
        <f t="shared" si="349"/>
        <v>0</v>
      </c>
      <c r="BK413">
        <f t="shared" si="361"/>
        <v>0</v>
      </c>
      <c r="BM413">
        <f t="shared" si="362"/>
        <v>-46.420514012225283</v>
      </c>
      <c r="BN413">
        <f t="shared" si="350"/>
        <v>-90.872180155739287</v>
      </c>
      <c r="BQ413" s="66">
        <f t="shared" si="363"/>
        <v>23.208511560852834</v>
      </c>
    </row>
    <row r="414" spans="1:81" x14ac:dyDescent="0.2">
      <c r="A414">
        <f t="shared" si="319"/>
        <v>1000000</v>
      </c>
      <c r="B414">
        <f t="shared" si="351"/>
        <v>1000</v>
      </c>
      <c r="C414">
        <f t="shared" si="320"/>
        <v>62.21157207915968</v>
      </c>
      <c r="D414">
        <f t="shared" si="321"/>
        <v>1.5547214546321251</v>
      </c>
      <c r="F414">
        <f t="shared" si="322"/>
        <v>5.0913664820405935E-6</v>
      </c>
      <c r="G414">
        <f t="shared" si="323"/>
        <v>9.2855308783997524E-4</v>
      </c>
      <c r="H414">
        <f t="shared" si="324"/>
        <v>-3.1406640969121602</v>
      </c>
      <c r="J414">
        <f t="shared" si="325"/>
        <v>15</v>
      </c>
      <c r="M414">
        <f t="shared" si="326"/>
        <v>3.373499157949815E-3</v>
      </c>
      <c r="N414">
        <f t="shared" si="327"/>
        <v>-1.5707963250000001</v>
      </c>
      <c r="O414">
        <f t="shared" si="328"/>
        <v>296.31670613657212</v>
      </c>
      <c r="P414">
        <f t="shared" si="329"/>
        <v>1.5674215528537851</v>
      </c>
      <c r="Q414">
        <f t="shared" si="330"/>
        <v>410.54454539844323</v>
      </c>
      <c r="R414">
        <f t="shared" si="331"/>
        <v>1.5683605351127126</v>
      </c>
      <c r="S414">
        <f t="shared" si="332"/>
        <v>2.6784148972803807E-2</v>
      </c>
      <c r="T414">
        <f t="shared" si="333"/>
        <v>-1.5440089743382059</v>
      </c>
      <c r="U414">
        <f t="shared" si="334"/>
        <v>0.99366999048272919</v>
      </c>
      <c r="V414">
        <f t="shared" si="335"/>
        <v>-0.11257618738532679</v>
      </c>
      <c r="X414">
        <f t="shared" si="352"/>
        <v>-25.697723000393673</v>
      </c>
      <c r="Y414">
        <f t="shared" si="336"/>
        <v>-96.116079017014712</v>
      </c>
      <c r="Z414">
        <f t="shared" si="353"/>
        <v>83.883920982985288</v>
      </c>
      <c r="AC414">
        <v>1</v>
      </c>
      <c r="AD414">
        <f t="shared" si="337"/>
        <v>296.31501874800006</v>
      </c>
      <c r="AE414">
        <f t="shared" si="338"/>
        <v>-1.8618021699666584E-3</v>
      </c>
      <c r="AF414">
        <f t="shared" si="339"/>
        <v>1.6468228671300003E-2</v>
      </c>
      <c r="AG414">
        <f t="shared" si="315"/>
        <v>17759.281609071513</v>
      </c>
      <c r="AH414">
        <f t="shared" si="316"/>
        <v>-2068.4840924138857</v>
      </c>
      <c r="AJ414">
        <f t="shared" si="340"/>
        <v>18000</v>
      </c>
      <c r="AK414">
        <f t="shared" si="341"/>
        <v>671798.17227599991</v>
      </c>
      <c r="AL414">
        <v>1</v>
      </c>
      <c r="AM414">
        <f t="shared" si="342"/>
        <v>410.54332750199995</v>
      </c>
      <c r="AN414">
        <f t="shared" si="317"/>
        <v>1636.4607229535759</v>
      </c>
      <c r="AO414">
        <f t="shared" si="318"/>
        <v>-39.858251689565478</v>
      </c>
      <c r="AQ414">
        <f t="shared" si="343"/>
        <v>2.4999993750001561E-3</v>
      </c>
      <c r="AR414">
        <f t="shared" si="344"/>
        <v>-4.9999987500003122</v>
      </c>
      <c r="AT414">
        <f t="shared" si="365"/>
        <v>-10298.019683541828</v>
      </c>
      <c r="AU414">
        <f t="shared" si="366"/>
        <v>-88801.55705519933</v>
      </c>
      <c r="AV414">
        <f t="shared" si="354"/>
        <v>-1.6862472881630015</v>
      </c>
      <c r="AW414">
        <f t="shared" si="355"/>
        <v>41337.981668421198</v>
      </c>
      <c r="AX414">
        <f t="shared" si="356"/>
        <v>-13417.223821704991</v>
      </c>
      <c r="AY414">
        <f t="shared" si="364"/>
        <v>-0.31384632430529669</v>
      </c>
      <c r="BA414">
        <f t="shared" si="345"/>
        <v>2.0569444617494073</v>
      </c>
      <c r="BB414">
        <f t="shared" si="357"/>
        <v>6.2644513148727219</v>
      </c>
      <c r="BC414">
        <f t="shared" si="358"/>
        <v>-1.3724009638577048</v>
      </c>
      <c r="BD414">
        <f t="shared" si="346"/>
        <v>-258.6327831185838</v>
      </c>
      <c r="BF414">
        <f t="shared" si="347"/>
        <v>-40.199612800033421</v>
      </c>
      <c r="BG414">
        <f t="shared" si="348"/>
        <v>-169.50060317488749</v>
      </c>
      <c r="BH414">
        <f t="shared" si="359"/>
        <v>10.499396825112512</v>
      </c>
      <c r="BI414">
        <f t="shared" si="360"/>
        <v>10.499396825112512</v>
      </c>
      <c r="BJ414">
        <f t="shared" si="349"/>
        <v>0</v>
      </c>
      <c r="BK414">
        <f t="shared" si="361"/>
        <v>0</v>
      </c>
      <c r="BM414">
        <f t="shared" si="362"/>
        <v>-46.464064114906137</v>
      </c>
      <c r="BN414">
        <f t="shared" si="350"/>
        <v>-90.867820056303714</v>
      </c>
      <c r="BQ414" s="66">
        <f t="shared" si="363"/>
        <v>23.166412115157861</v>
      </c>
    </row>
    <row r="415" spans="1:81" x14ac:dyDescent="0.2">
      <c r="A415">
        <f t="shared" si="319"/>
        <v>1005000</v>
      </c>
      <c r="B415">
        <f t="shared" si="351"/>
        <v>1005</v>
      </c>
      <c r="C415">
        <f t="shared" si="320"/>
        <v>62.522549768532301</v>
      </c>
      <c r="D415">
        <f t="shared" si="321"/>
        <v>1.5548014154468064</v>
      </c>
      <c r="F415">
        <f t="shared" si="322"/>
        <v>5.0408319045142453E-6</v>
      </c>
      <c r="G415">
        <f t="shared" si="323"/>
        <v>9.2393337628587555E-4</v>
      </c>
      <c r="H415">
        <f t="shared" si="324"/>
        <v>-3.1406687166237144</v>
      </c>
      <c r="J415">
        <f t="shared" si="325"/>
        <v>15</v>
      </c>
      <c r="M415">
        <f t="shared" si="326"/>
        <v>3.3567155800495675E-3</v>
      </c>
      <c r="N415">
        <f t="shared" si="327"/>
        <v>-1.5707963250000001</v>
      </c>
      <c r="O415">
        <f t="shared" si="328"/>
        <v>297.79827283539151</v>
      </c>
      <c r="P415">
        <f t="shared" si="329"/>
        <v>1.5674383426473588</v>
      </c>
      <c r="Q415">
        <f t="shared" si="330"/>
        <v>412.59725597678482</v>
      </c>
      <c r="R415">
        <f t="shared" si="331"/>
        <v>1.5683726534317151</v>
      </c>
      <c r="S415">
        <f t="shared" si="332"/>
        <v>2.6650989384103561E-2</v>
      </c>
      <c r="T415">
        <f t="shared" si="333"/>
        <v>-1.5441421814790193</v>
      </c>
      <c r="U415">
        <f t="shared" si="334"/>
        <v>0.99360713936750111</v>
      </c>
      <c r="V415">
        <f t="shared" si="335"/>
        <v>-0.11313428934520754</v>
      </c>
      <c r="X415">
        <f t="shared" si="352"/>
        <v>-25.741575014416078</v>
      </c>
      <c r="Y415">
        <f t="shared" si="336"/>
        <v>-96.149715070784552</v>
      </c>
      <c r="Z415">
        <f t="shared" si="353"/>
        <v>83.850284929215448</v>
      </c>
      <c r="AC415">
        <v>1</v>
      </c>
      <c r="AD415">
        <f t="shared" si="337"/>
        <v>297.79659384174005</v>
      </c>
      <c r="AE415">
        <f t="shared" si="338"/>
        <v>-1.880466736720574E-3</v>
      </c>
      <c r="AF415">
        <f t="shared" si="339"/>
        <v>1.65505698146565E-2</v>
      </c>
      <c r="AG415">
        <f t="shared" si="315"/>
        <v>17757.035077798344</v>
      </c>
      <c r="AH415">
        <f t="shared" si="316"/>
        <v>-2077.9655438886775</v>
      </c>
      <c r="AJ415">
        <f t="shared" si="340"/>
        <v>18000</v>
      </c>
      <c r="AK415">
        <f t="shared" si="341"/>
        <v>675157.16313738003</v>
      </c>
      <c r="AL415">
        <v>1</v>
      </c>
      <c r="AM415">
        <f t="shared" si="342"/>
        <v>412.59604413950996</v>
      </c>
      <c r="AN415">
        <f t="shared" si="317"/>
        <v>1636.4597593265898</v>
      </c>
      <c r="AO415">
        <f t="shared" si="318"/>
        <v>-39.659954265437534</v>
      </c>
      <c r="AQ415">
        <f t="shared" si="343"/>
        <v>2.4751856451113476E-3</v>
      </c>
      <c r="AR415">
        <f t="shared" si="344"/>
        <v>-4.9751231466738082</v>
      </c>
      <c r="AT415">
        <f t="shared" si="365"/>
        <v>-10294.182517066884</v>
      </c>
      <c r="AU415">
        <f t="shared" si="366"/>
        <v>-88348.579582338556</v>
      </c>
      <c r="AV415">
        <f t="shared" si="354"/>
        <v>-1.6867910878908787</v>
      </c>
      <c r="AW415">
        <f t="shared" si="355"/>
        <v>41334.876294913229</v>
      </c>
      <c r="AX415">
        <f t="shared" si="356"/>
        <v>-13394.885555162822</v>
      </c>
      <c r="AY415">
        <f t="shared" si="364"/>
        <v>-0.31337939845555718</v>
      </c>
      <c r="BA415">
        <f t="shared" si="345"/>
        <v>2.0470450538871994</v>
      </c>
      <c r="BB415">
        <f t="shared" si="357"/>
        <v>6.2225480251042793</v>
      </c>
      <c r="BC415">
        <f t="shared" si="358"/>
        <v>-1.3734116894353217</v>
      </c>
      <c r="BD415">
        <f t="shared" si="346"/>
        <v>-258.69069342849332</v>
      </c>
      <c r="BF415">
        <f t="shared" si="347"/>
        <v>-40.28484886810206</v>
      </c>
      <c r="BG415">
        <f t="shared" si="348"/>
        <v>-169.55419675755903</v>
      </c>
      <c r="BH415">
        <f t="shared" si="359"/>
        <v>10.445803242440974</v>
      </c>
      <c r="BI415">
        <f t="shared" si="360"/>
        <v>10.445803242440974</v>
      </c>
      <c r="BJ415">
        <f t="shared" si="349"/>
        <v>0</v>
      </c>
      <c r="BK415">
        <f t="shared" si="361"/>
        <v>0</v>
      </c>
      <c r="BM415">
        <f t="shared" si="362"/>
        <v>-46.507396893206341</v>
      </c>
      <c r="BN415">
        <f t="shared" si="350"/>
        <v>-90.863503329065722</v>
      </c>
      <c r="BQ415" s="66">
        <f t="shared" si="363"/>
        <v>23.124508825389416</v>
      </c>
    </row>
    <row r="416" spans="1:81" x14ac:dyDescent="0.2">
      <c r="A416">
        <f t="shared" si="319"/>
        <v>1010000</v>
      </c>
      <c r="B416">
        <f t="shared" si="351"/>
        <v>1010</v>
      </c>
      <c r="C416">
        <f t="shared" si="320"/>
        <v>62.83352785370041</v>
      </c>
      <c r="D416">
        <f t="shared" si="321"/>
        <v>1.554880584771781</v>
      </c>
      <c r="F416">
        <f t="shared" si="322"/>
        <v>4.9910459858784812E-6</v>
      </c>
      <c r="G416">
        <f t="shared" si="323"/>
        <v>9.1935940510539662E-4</v>
      </c>
      <c r="H416">
        <f t="shared" si="324"/>
        <v>-3.1406732905948949</v>
      </c>
      <c r="J416">
        <f t="shared" si="325"/>
        <v>15</v>
      </c>
      <c r="M416">
        <f t="shared" si="326"/>
        <v>3.3400981761879359E-3</v>
      </c>
      <c r="N416">
        <f t="shared" si="327"/>
        <v>-1.5707963250000001</v>
      </c>
      <c r="O416">
        <f t="shared" si="328"/>
        <v>299.27983961732826</v>
      </c>
      <c r="P416">
        <f t="shared" si="329"/>
        <v>1.5674549662072177</v>
      </c>
      <c r="Q416">
        <f t="shared" si="330"/>
        <v>414.64996661511788</v>
      </c>
      <c r="R416">
        <f t="shared" si="331"/>
        <v>1.5683846517680622</v>
      </c>
      <c r="S416">
        <f t="shared" si="332"/>
        <v>2.6519146809443093E-2</v>
      </c>
      <c r="T416">
        <f t="shared" si="333"/>
        <v>-1.5442740706694011</v>
      </c>
      <c r="U416">
        <f t="shared" si="334"/>
        <v>0.99354398679450417</v>
      </c>
      <c r="V416">
        <f t="shared" si="335"/>
        <v>-0.11369232053419522</v>
      </c>
      <c r="X416">
        <f t="shared" si="352"/>
        <v>-25.785214979898342</v>
      </c>
      <c r="Y416">
        <f t="shared" si="336"/>
        <v>-96.18333068396295</v>
      </c>
      <c r="Z416">
        <f t="shared" si="353"/>
        <v>83.81666931603705</v>
      </c>
      <c r="AC416">
        <v>1</v>
      </c>
      <c r="AD416">
        <f t="shared" si="337"/>
        <v>299.27816893548004</v>
      </c>
      <c r="AE416">
        <f t="shared" si="338"/>
        <v>-1.8992243935829882E-3</v>
      </c>
      <c r="AF416">
        <f t="shared" si="339"/>
        <v>1.6632910958013003E-2</v>
      </c>
      <c r="AG416">
        <f t="shared" si="315"/>
        <v>17754.777914434719</v>
      </c>
      <c r="AH416">
        <f t="shared" si="316"/>
        <v>-2087.4462326761991</v>
      </c>
      <c r="AJ416">
        <f t="shared" si="340"/>
        <v>18000</v>
      </c>
      <c r="AK416">
        <f t="shared" si="341"/>
        <v>678516.15399875992</v>
      </c>
      <c r="AL416">
        <v>1</v>
      </c>
      <c r="AM416">
        <f t="shared" si="342"/>
        <v>414.64876077702002</v>
      </c>
      <c r="AN416">
        <f t="shared" si="317"/>
        <v>1636.45880997533</v>
      </c>
      <c r="AO416">
        <f t="shared" si="318"/>
        <v>-39.463620147714046</v>
      </c>
      <c r="AQ416">
        <f t="shared" si="343"/>
        <v>2.4507395229047342E-3</v>
      </c>
      <c r="AR416">
        <f t="shared" si="344"/>
        <v>-4.9504938362675626</v>
      </c>
      <c r="AT416">
        <f t="shared" si="365"/>
        <v>-10290.377372448165</v>
      </c>
      <c r="AU416">
        <f t="shared" si="366"/>
        <v>-87900.034416692884</v>
      </c>
      <c r="AV416">
        <f t="shared" si="354"/>
        <v>-1.6873349584522612</v>
      </c>
      <c r="AW416">
        <f t="shared" si="355"/>
        <v>41331.718272082493</v>
      </c>
      <c r="AX416">
        <f t="shared" si="356"/>
        <v>-13372.977728409591</v>
      </c>
      <c r="AY416">
        <f t="shared" si="364"/>
        <v>-0.31292206153484287</v>
      </c>
      <c r="BA416">
        <f t="shared" si="345"/>
        <v>2.0372388849316851</v>
      </c>
      <c r="BB416">
        <f t="shared" si="357"/>
        <v>6.1808391398932621</v>
      </c>
      <c r="BC416">
        <f t="shared" si="358"/>
        <v>-1.3744128969174183</v>
      </c>
      <c r="BD416">
        <f t="shared" si="346"/>
        <v>-258.74805839169994</v>
      </c>
      <c r="BF416">
        <f t="shared" si="347"/>
        <v>-40.36967536602522</v>
      </c>
      <c r="BG416">
        <f t="shared" si="348"/>
        <v>-169.60728772181707</v>
      </c>
      <c r="BH416">
        <f t="shared" si="359"/>
        <v>10.392712278182927</v>
      </c>
      <c r="BI416">
        <f t="shared" si="360"/>
        <v>10.392712278182927</v>
      </c>
      <c r="BJ416">
        <f t="shared" si="349"/>
        <v>0</v>
      </c>
      <c r="BK416">
        <f t="shared" si="361"/>
        <v>0</v>
      </c>
      <c r="BM416">
        <f t="shared" si="362"/>
        <v>-46.550514505918485</v>
      </c>
      <c r="BN416">
        <f t="shared" si="350"/>
        <v>-90.859229330117159</v>
      </c>
      <c r="BQ416" s="66">
        <f t="shared" si="363"/>
        <v>23.082799940178397</v>
      </c>
    </row>
    <row r="417" spans="1:69" x14ac:dyDescent="0.2">
      <c r="A417">
        <f t="shared" si="319"/>
        <v>1015000</v>
      </c>
      <c r="B417">
        <f t="shared" si="351"/>
        <v>1015</v>
      </c>
      <c r="C417">
        <f t="shared" si="320"/>
        <v>63.144506328816291</v>
      </c>
      <c r="D417">
        <f t="shared" si="321"/>
        <v>1.5549589743000007</v>
      </c>
      <c r="F417">
        <f t="shared" si="322"/>
        <v>4.9419940105164313E-6</v>
      </c>
      <c r="G417">
        <f t="shared" si="323"/>
        <v>9.1483049831960926E-4</v>
      </c>
      <c r="H417">
        <f t="shared" si="324"/>
        <v>-3.1406778195016805</v>
      </c>
      <c r="J417">
        <f t="shared" si="325"/>
        <v>15</v>
      </c>
      <c r="M417">
        <f t="shared" si="326"/>
        <v>3.3236444905909513E-3</v>
      </c>
      <c r="N417">
        <f t="shared" si="327"/>
        <v>-1.5707963250000001</v>
      </c>
      <c r="O417">
        <f t="shared" si="328"/>
        <v>300.76140648115404</v>
      </c>
      <c r="P417">
        <f t="shared" si="329"/>
        <v>1.5674714259899816</v>
      </c>
      <c r="Q417">
        <f t="shared" si="330"/>
        <v>416.70267731255592</v>
      </c>
      <c r="R417">
        <f t="shared" si="331"/>
        <v>1.5683965318948834</v>
      </c>
      <c r="S417">
        <f t="shared" si="332"/>
        <v>2.6388601812875008E-2</v>
      </c>
      <c r="T417">
        <f t="shared" si="333"/>
        <v>-1.5444046613682323</v>
      </c>
      <c r="U417">
        <f t="shared" si="334"/>
        <v>0.99348053293919869</v>
      </c>
      <c r="V417">
        <f t="shared" si="335"/>
        <v>-0.11425028061827608</v>
      </c>
      <c r="X417">
        <f t="shared" si="352"/>
        <v>-25.828645013812061</v>
      </c>
      <c r="Y417">
        <f t="shared" si="336"/>
        <v>-96.216926078751229</v>
      </c>
      <c r="Z417">
        <f t="shared" si="353"/>
        <v>83.783073921248771</v>
      </c>
      <c r="AC417">
        <v>1</v>
      </c>
      <c r="AD417">
        <f t="shared" si="337"/>
        <v>300.75974402922003</v>
      </c>
      <c r="AE417">
        <f t="shared" si="338"/>
        <v>-1.9180751405539001E-3</v>
      </c>
      <c r="AF417">
        <f t="shared" si="339"/>
        <v>1.6715252101369499E-2</v>
      </c>
      <c r="AG417">
        <f t="shared" si="315"/>
        <v>17752.510127305752</v>
      </c>
      <c r="AH417">
        <f t="shared" si="316"/>
        <v>-2096.9260974977924</v>
      </c>
      <c r="AJ417">
        <f t="shared" si="340"/>
        <v>18000</v>
      </c>
      <c r="AK417">
        <f t="shared" si="341"/>
        <v>681875.14486013993</v>
      </c>
      <c r="AL417">
        <v>1</v>
      </c>
      <c r="AM417">
        <f t="shared" si="342"/>
        <v>416.70147741453002</v>
      </c>
      <c r="AN417">
        <f t="shared" si="317"/>
        <v>1636.4578746192005</v>
      </c>
      <c r="AO417">
        <f t="shared" si="318"/>
        <v>-39.269220322688049</v>
      </c>
      <c r="AQ417">
        <f t="shared" si="343"/>
        <v>2.4266537827528495E-3</v>
      </c>
      <c r="AR417">
        <f t="shared" si="344"/>
        <v>-4.9261071789882847</v>
      </c>
      <c r="AT417">
        <f t="shared" si="365"/>
        <v>-10286.603506837979</v>
      </c>
      <c r="AU417">
        <f t="shared" si="366"/>
        <v>-87455.856096829739</v>
      </c>
      <c r="AV417">
        <f t="shared" si="354"/>
        <v>-1.6878788974204959</v>
      </c>
      <c r="AW417">
        <f t="shared" si="355"/>
        <v>41328.508183999562</v>
      </c>
      <c r="AX417">
        <f t="shared" si="356"/>
        <v>-13351.493815615633</v>
      </c>
      <c r="AY417">
        <f t="shared" si="364"/>
        <v>-0.31247417568796165</v>
      </c>
      <c r="BA417">
        <f t="shared" si="345"/>
        <v>2.027524666710657</v>
      </c>
      <c r="BB417">
        <f t="shared" si="357"/>
        <v>6.1393229301784018</v>
      </c>
      <c r="BC417">
        <f t="shared" si="358"/>
        <v>-1.3754047217325343</v>
      </c>
      <c r="BD417">
        <f t="shared" si="346"/>
        <v>-258.80488576768732</v>
      </c>
      <c r="BF417">
        <f t="shared" si="347"/>
        <v>-40.454096149640783</v>
      </c>
      <c r="BG417">
        <f t="shared" si="348"/>
        <v>-169.65988319591926</v>
      </c>
      <c r="BH417">
        <f t="shared" si="359"/>
        <v>10.340116804080736</v>
      </c>
      <c r="BI417">
        <f t="shared" si="360"/>
        <v>10.340116804080736</v>
      </c>
      <c r="BJ417">
        <f t="shared" si="349"/>
        <v>0</v>
      </c>
      <c r="BK417">
        <f t="shared" si="361"/>
        <v>0</v>
      </c>
      <c r="BM417">
        <f t="shared" si="362"/>
        <v>-46.593419079819185</v>
      </c>
      <c r="BN417">
        <f t="shared" si="350"/>
        <v>-90.854997428231925</v>
      </c>
      <c r="BQ417" s="66">
        <f t="shared" si="363"/>
        <v>23.041283730463537</v>
      </c>
    </row>
    <row r="418" spans="1:69" x14ac:dyDescent="0.2">
      <c r="A418">
        <f t="shared" si="319"/>
        <v>1020000</v>
      </c>
      <c r="B418">
        <f t="shared" si="351"/>
        <v>1020</v>
      </c>
      <c r="C418">
        <f t="shared" si="320"/>
        <v>63.455485188146838</v>
      </c>
      <c r="D418">
        <f t="shared" si="321"/>
        <v>1.5550365954952388</v>
      </c>
      <c r="F418">
        <f t="shared" si="322"/>
        <v>4.8936616226051891E-6</v>
      </c>
      <c r="G418">
        <f t="shared" si="323"/>
        <v>9.1034599320438528E-4</v>
      </c>
      <c r="H418">
        <f t="shared" si="324"/>
        <v>-3.1406823040067957</v>
      </c>
      <c r="J418">
        <f t="shared" si="325"/>
        <v>15</v>
      </c>
      <c r="M418">
        <f t="shared" si="326"/>
        <v>3.3073521156370736E-3</v>
      </c>
      <c r="N418">
        <f t="shared" si="327"/>
        <v>-1.5707963250000001</v>
      </c>
      <c r="O418">
        <f t="shared" si="328"/>
        <v>302.2429734256645</v>
      </c>
      <c r="P418">
        <f t="shared" si="329"/>
        <v>1.5674877244041012</v>
      </c>
      <c r="Q418">
        <f t="shared" si="330"/>
        <v>418.75538806822965</v>
      </c>
      <c r="R418">
        <f t="shared" si="331"/>
        <v>1.5684082955505403</v>
      </c>
      <c r="S418">
        <f t="shared" si="332"/>
        <v>2.625933533888505E-2</v>
      </c>
      <c r="T418">
        <f t="shared" si="333"/>
        <v>-1.5445339726532896</v>
      </c>
      <c r="U418">
        <f t="shared" si="334"/>
        <v>0.99341677797782069</v>
      </c>
      <c r="V418">
        <f t="shared" si="335"/>
        <v>-0.11480816926369859</v>
      </c>
      <c r="X418">
        <f t="shared" si="352"/>
        <v>-25.871867201952838</v>
      </c>
      <c r="Y418">
        <f t="shared" si="336"/>
        <v>-96.250501472653582</v>
      </c>
      <c r="Z418">
        <f t="shared" si="353"/>
        <v>83.749498527346418</v>
      </c>
      <c r="AC418">
        <v>1</v>
      </c>
      <c r="AD418">
        <f t="shared" si="337"/>
        <v>302.24131912296002</v>
      </c>
      <c r="AE418">
        <f t="shared" si="338"/>
        <v>-1.9370189776333109E-3</v>
      </c>
      <c r="AF418">
        <f t="shared" si="339"/>
        <v>1.6797593244726003E-2</v>
      </c>
      <c r="AG418">
        <f t="shared" si="315"/>
        <v>17750.231724772493</v>
      </c>
      <c r="AH418">
        <f t="shared" si="316"/>
        <v>-2106.4050779645086</v>
      </c>
      <c r="AJ418">
        <f t="shared" si="340"/>
        <v>18000</v>
      </c>
      <c r="AK418">
        <f t="shared" si="341"/>
        <v>685234.13572152006</v>
      </c>
      <c r="AL418">
        <v>1</v>
      </c>
      <c r="AM418">
        <f t="shared" si="342"/>
        <v>418.75419405204002</v>
      </c>
      <c r="AN418">
        <f t="shared" si="317"/>
        <v>1636.4569529844621</v>
      </c>
      <c r="AO418">
        <f t="shared" si="318"/>
        <v>-39.0767263455324</v>
      </c>
      <c r="AQ418">
        <f t="shared" si="343"/>
        <v>2.402921375691711E-3</v>
      </c>
      <c r="AR418">
        <f t="shared" si="344"/>
        <v>-4.90195960641109</v>
      </c>
      <c r="AT418">
        <f t="shared" si="365"/>
        <v>-10282.860195686288</v>
      </c>
      <c r="AU418">
        <f t="shared" si="366"/>
        <v>-87015.980445059118</v>
      </c>
      <c r="AV418">
        <f t="shared" si="354"/>
        <v>-1.6884229024102226</v>
      </c>
      <c r="AW418">
        <f t="shared" si="355"/>
        <v>41325.246600992919</v>
      </c>
      <c r="AX418">
        <f t="shared" si="356"/>
        <v>-13330.427418248608</v>
      </c>
      <c r="AY418">
        <f t="shared" si="364"/>
        <v>-0.31203560563390043</v>
      </c>
      <c r="BA418">
        <f t="shared" si="345"/>
        <v>2.0179011342282611</v>
      </c>
      <c r="BB418">
        <f t="shared" si="357"/>
        <v>6.0979976888510343</v>
      </c>
      <c r="BC418">
        <f t="shared" si="358"/>
        <v>-1.3763872967763222</v>
      </c>
      <c r="BD418">
        <f t="shared" si="346"/>
        <v>-258.86118317081559</v>
      </c>
      <c r="BF418">
        <f t="shared" si="347"/>
        <v>-40.538115021448206</v>
      </c>
      <c r="BG418">
        <f t="shared" si="348"/>
        <v>-169.71199017537114</v>
      </c>
      <c r="BH418">
        <f t="shared" si="359"/>
        <v>10.288009824628858</v>
      </c>
      <c r="BI418">
        <f t="shared" si="360"/>
        <v>10.288009824628858</v>
      </c>
      <c r="BJ418">
        <f t="shared" si="349"/>
        <v>0</v>
      </c>
      <c r="BK418">
        <f t="shared" si="361"/>
        <v>0</v>
      </c>
      <c r="BM418">
        <f t="shared" si="362"/>
        <v>-46.636112710299244</v>
      </c>
      <c r="BN418">
        <f t="shared" si="350"/>
        <v>-90.850807004555548</v>
      </c>
      <c r="BQ418" s="66">
        <f t="shared" si="363"/>
        <v>22.999958489136173</v>
      </c>
    </row>
    <row r="419" spans="1:69" x14ac:dyDescent="0.2">
      <c r="A419">
        <f t="shared" si="319"/>
        <v>1025000</v>
      </c>
      <c r="B419">
        <f t="shared" si="351"/>
        <v>1025</v>
      </c>
      <c r="C419">
        <f t="shared" si="320"/>
        <v>63.766464426070804</v>
      </c>
      <c r="D419">
        <f t="shared" si="321"/>
        <v>1.5551134595976785</v>
      </c>
      <c r="F419">
        <f t="shared" si="322"/>
        <v>4.8460348156109026E-6</v>
      </c>
      <c r="G419">
        <f t="shared" si="323"/>
        <v>9.0590523996709983E-4</v>
      </c>
      <c r="H419">
        <f t="shared" si="324"/>
        <v>-3.1406867447600333</v>
      </c>
      <c r="J419">
        <f t="shared" si="325"/>
        <v>15</v>
      </c>
      <c r="M419">
        <f t="shared" si="326"/>
        <v>3.2912186906827469E-3</v>
      </c>
      <c r="N419">
        <f t="shared" si="327"/>
        <v>-1.5707963250000001</v>
      </c>
      <c r="O419">
        <f t="shared" si="328"/>
        <v>303.72454044967907</v>
      </c>
      <c r="P419">
        <f t="shared" si="329"/>
        <v>1.5675038638110348</v>
      </c>
      <c r="Q419">
        <f t="shared" si="330"/>
        <v>420.80809888128687</v>
      </c>
      <c r="R419">
        <f t="shared" si="331"/>
        <v>1.5684199444394762</v>
      </c>
      <c r="S419">
        <f t="shared" si="332"/>
        <v>2.613132870313252E-2</v>
      </c>
      <c r="T419">
        <f t="shared" si="333"/>
        <v>-1.544662023230529</v>
      </c>
      <c r="U419">
        <f t="shared" si="334"/>
        <v>0.99335272208738279</v>
      </c>
      <c r="V419">
        <f t="shared" si="335"/>
        <v>-0.11536598613697457</v>
      </c>
      <c r="X419">
        <f t="shared" si="352"/>
        <v>-25.914883599548691</v>
      </c>
      <c r="Y419">
        <f t="shared" si="336"/>
        <v>-96.284057078591189</v>
      </c>
      <c r="Z419">
        <f t="shared" si="353"/>
        <v>83.715942921408811</v>
      </c>
      <c r="AC419">
        <v>1</v>
      </c>
      <c r="AD419">
        <f t="shared" si="337"/>
        <v>303.72289421670007</v>
      </c>
      <c r="AE419">
        <f t="shared" si="338"/>
        <v>-1.9560559048212201E-3</v>
      </c>
      <c r="AF419">
        <f t="shared" si="339"/>
        <v>1.6879934388082499E-2</v>
      </c>
      <c r="AG419">
        <f t="shared" si="315"/>
        <v>17747.942715231893</v>
      </c>
      <c r="AH419">
        <f t="shared" si="316"/>
        <v>-2115.8831145560703</v>
      </c>
      <c r="AJ419">
        <f t="shared" si="340"/>
        <v>18000</v>
      </c>
      <c r="AK419">
        <f t="shared" si="341"/>
        <v>688593.12658289995</v>
      </c>
      <c r="AL419">
        <v>1</v>
      </c>
      <c r="AM419">
        <f t="shared" si="342"/>
        <v>420.80691068955002</v>
      </c>
      <c r="AN419">
        <f t="shared" si="317"/>
        <v>1636.4560448040365</v>
      </c>
      <c r="AO419">
        <f t="shared" si="318"/>
        <v>-38.886110326425126</v>
      </c>
      <c r="AQ419">
        <f t="shared" si="343"/>
        <v>2.3795354242628379E-3</v>
      </c>
      <c r="AR419">
        <f t="shared" si="344"/>
        <v>-4.8780476197388172</v>
      </c>
      <c r="AT419">
        <f t="shared" si="365"/>
        <v>-10279.146732207111</v>
      </c>
      <c r="AU419">
        <f t="shared" si="366"/>
        <v>-86580.344536122502</v>
      </c>
      <c r="AV419">
        <f t="shared" si="354"/>
        <v>-1.6889669710763759</v>
      </c>
      <c r="AW419">
        <f t="shared" si="355"/>
        <v>41321.934080052451</v>
      </c>
      <c r="AX419">
        <f t="shared" si="356"/>
        <v>-13309.772261969043</v>
      </c>
      <c r="AY419">
        <f t="shared" si="364"/>
        <v>-0.31160621860645604</v>
      </c>
      <c r="BA419">
        <f t="shared" si="345"/>
        <v>2.0083670451569398</v>
      </c>
      <c r="BB419">
        <f t="shared" si="357"/>
        <v>6.0568617304063288</v>
      </c>
      <c r="BC419">
        <f t="shared" si="358"/>
        <v>-1.3773607524699198</v>
      </c>
      <c r="BD419">
        <f t="shared" si="346"/>
        <v>-258.91695807366546</v>
      </c>
      <c r="BF419">
        <f t="shared" si="347"/>
        <v>-40.621735731572002</v>
      </c>
      <c r="BG419">
        <f t="shared" si="348"/>
        <v>-169.76361552596879</v>
      </c>
      <c r="BH419">
        <f t="shared" si="359"/>
        <v>10.236384474031212</v>
      </c>
      <c r="BI419">
        <f t="shared" si="360"/>
        <v>10.236384474031212</v>
      </c>
      <c r="BJ419">
        <f t="shared" si="349"/>
        <v>0</v>
      </c>
      <c r="BK419">
        <f t="shared" si="361"/>
        <v>0</v>
      </c>
      <c r="BM419">
        <f t="shared" si="362"/>
        <v>-46.678597461978327</v>
      </c>
      <c r="BN419">
        <f t="shared" si="350"/>
        <v>-90.846657452303319</v>
      </c>
      <c r="BQ419" s="66">
        <f t="shared" si="363"/>
        <v>22.958822530691467</v>
      </c>
    </row>
    <row r="420" spans="1:69" x14ac:dyDescent="0.2">
      <c r="A420">
        <f t="shared" si="319"/>
        <v>1030000</v>
      </c>
      <c r="B420">
        <f t="shared" si="351"/>
        <v>1030</v>
      </c>
      <c r="C420">
        <f t="shared" si="320"/>
        <v>64.077444037076049</v>
      </c>
      <c r="D420">
        <f t="shared" si="321"/>
        <v>1.5551895776293365</v>
      </c>
      <c r="F420">
        <f t="shared" si="322"/>
        <v>4.7990999221399788E-6</v>
      </c>
      <c r="G420">
        <f t="shared" si="323"/>
        <v>9.0150760143275198E-4</v>
      </c>
      <c r="H420">
        <f t="shared" si="324"/>
        <v>-3.1406911423985675</v>
      </c>
      <c r="J420">
        <f t="shared" si="325"/>
        <v>15</v>
      </c>
      <c r="M420">
        <f t="shared" si="326"/>
        <v>3.2752419009221506E-3</v>
      </c>
      <c r="N420">
        <f t="shared" si="327"/>
        <v>-1.5707963250000001</v>
      </c>
      <c r="O420">
        <f t="shared" si="328"/>
        <v>305.2061075520399</v>
      </c>
      <c r="P420">
        <f t="shared" si="329"/>
        <v>1.5675198465263875</v>
      </c>
      <c r="Q420">
        <f t="shared" si="330"/>
        <v>422.86080975089197</v>
      </c>
      <c r="R420">
        <f t="shared" si="331"/>
        <v>1.5684314802330388</v>
      </c>
      <c r="S420">
        <f t="shared" si="332"/>
        <v>2.6004563583459747E-2</v>
      </c>
      <c r="T420">
        <f t="shared" si="333"/>
        <v>-1.5447888314430969</v>
      </c>
      <c r="U420">
        <f t="shared" si="334"/>
        <v>0.99328836544567078</v>
      </c>
      <c r="V420">
        <f t="shared" si="335"/>
        <v>-0.11592373090488031</v>
      </c>
      <c r="X420">
        <f t="shared" si="352"/>
        <v>-25.957696231853774</v>
      </c>
      <c r="Y420">
        <f t="shared" si="336"/>
        <v>-96.317593105013387</v>
      </c>
      <c r="Z420">
        <f t="shared" si="353"/>
        <v>83.682406894986613</v>
      </c>
      <c r="AC420">
        <v>1</v>
      </c>
      <c r="AD420">
        <f t="shared" si="337"/>
        <v>305.20446931044006</v>
      </c>
      <c r="AE420">
        <f t="shared" si="338"/>
        <v>-1.9751859221176274E-3</v>
      </c>
      <c r="AF420">
        <f t="shared" si="339"/>
        <v>1.6962275531438999E-2</v>
      </c>
      <c r="AG420">
        <f t="shared" si="315"/>
        <v>17745.643107116695</v>
      </c>
      <c r="AH420">
        <f t="shared" si="316"/>
        <v>-2125.3601486004291</v>
      </c>
      <c r="AJ420">
        <f t="shared" si="340"/>
        <v>18000</v>
      </c>
      <c r="AK420">
        <f t="shared" si="341"/>
        <v>691952.11744427995</v>
      </c>
      <c r="AL420">
        <v>1</v>
      </c>
      <c r="AM420">
        <f t="shared" si="342"/>
        <v>422.85962732705997</v>
      </c>
      <c r="AN420">
        <f t="shared" si="317"/>
        <v>1636.4551498173128</v>
      </c>
      <c r="AO420">
        <f t="shared" si="318"/>
        <v>-38.697344917078915</v>
      </c>
      <c r="AQ420">
        <f t="shared" si="343"/>
        <v>2.3564892175301118E-3</v>
      </c>
      <c r="AR420">
        <f t="shared" si="344"/>
        <v>-4.8543677881120306</v>
      </c>
      <c r="AT420">
        <f t="shared" si="365"/>
        <v>-10275.462426862863</v>
      </c>
      <c r="AU420">
        <f t="shared" si="366"/>
        <v>-86148.886666793129</v>
      </c>
      <c r="AV420">
        <f t="shared" si="354"/>
        <v>-1.6895111011132129</v>
      </c>
      <c r="AW420">
        <f t="shared" si="355"/>
        <v>41318.571165219138</v>
      </c>
      <c r="AX420">
        <f t="shared" si="356"/>
        <v>-13289.522193616245</v>
      </c>
      <c r="AY420">
        <f t="shared" si="364"/>
        <v>-0.31118588429648486</v>
      </c>
      <c r="BA420">
        <f t="shared" si="345"/>
        <v>1.998921179342352</v>
      </c>
      <c r="BB420">
        <f t="shared" si="357"/>
        <v>6.015913390600792</v>
      </c>
      <c r="BC420">
        <f t="shared" si="358"/>
        <v>-1.3783252168167279</v>
      </c>
      <c r="BD420">
        <f t="shared" si="346"/>
        <v>-258.97221781029157</v>
      </c>
      <c r="BF420">
        <f t="shared" si="347"/>
        <v>-40.704961978703935</v>
      </c>
      <c r="BG420">
        <f t="shared" si="348"/>
        <v>-169.81476598675914</v>
      </c>
      <c r="BH420">
        <f t="shared" si="359"/>
        <v>10.185234013240859</v>
      </c>
      <c r="BI420">
        <f t="shared" si="360"/>
        <v>10.185234013240859</v>
      </c>
      <c r="BJ420">
        <f t="shared" si="349"/>
        <v>0</v>
      </c>
      <c r="BK420">
        <f t="shared" si="361"/>
        <v>0</v>
      </c>
      <c r="BM420">
        <f t="shared" si="362"/>
        <v>-46.720875369304721</v>
      </c>
      <c r="BN420">
        <f t="shared" si="350"/>
        <v>-90.842548176467602</v>
      </c>
      <c r="BQ420" s="66">
        <f t="shared" si="363"/>
        <v>22.917874190885929</v>
      </c>
    </row>
    <row r="421" spans="1:69" x14ac:dyDescent="0.2">
      <c r="A421">
        <f t="shared" si="319"/>
        <v>1035000</v>
      </c>
      <c r="B421">
        <f t="shared" si="351"/>
        <v>1035</v>
      </c>
      <c r="C421">
        <f t="shared" si="320"/>
        <v>64.388424015756897</v>
      </c>
      <c r="D421">
        <f t="shared" si="321"/>
        <v>1.5552649603993298</v>
      </c>
      <c r="F421">
        <f t="shared" si="322"/>
        <v>4.7528436041326545E-6</v>
      </c>
      <c r="G421">
        <f t="shared" si="323"/>
        <v>8.9715245273918232E-4</v>
      </c>
      <c r="H421">
        <f t="shared" si="324"/>
        <v>-3.1406954975472612</v>
      </c>
      <c r="J421">
        <f t="shared" si="325"/>
        <v>15</v>
      </c>
      <c r="M421">
        <f t="shared" si="326"/>
        <v>3.2594194762800145E-3</v>
      </c>
      <c r="N421">
        <f t="shared" si="327"/>
        <v>-1.5707963250000001</v>
      </c>
      <c r="O421">
        <f t="shared" si="328"/>
        <v>306.68767473161142</v>
      </c>
      <c r="P421">
        <f t="shared" si="329"/>
        <v>1.5675356748210194</v>
      </c>
      <c r="Q421">
        <f t="shared" si="330"/>
        <v>424.91352067622546</v>
      </c>
      <c r="R421">
        <f t="shared" si="331"/>
        <v>1.568442904570279</v>
      </c>
      <c r="S421">
        <f t="shared" si="332"/>
        <v>2.587902201116148E-2</v>
      </c>
      <c r="T421">
        <f t="shared" si="333"/>
        <v>-1.5449144152800824</v>
      </c>
      <c r="U421">
        <f t="shared" si="334"/>
        <v>0.99322370823124428</v>
      </c>
      <c r="V421">
        <f t="shared" si="335"/>
        <v>-0.11648140323445763</v>
      </c>
      <c r="X421">
        <f t="shared" si="352"/>
        <v>-26.000307094727681</v>
      </c>
      <c r="Y421">
        <f t="shared" si="336"/>
        <v>-96.351109756005798</v>
      </c>
      <c r="Z421">
        <f t="shared" si="353"/>
        <v>83.648890243994202</v>
      </c>
      <c r="AC421">
        <v>1</v>
      </c>
      <c r="AD421">
        <f t="shared" si="337"/>
        <v>306.68604440418005</v>
      </c>
      <c r="AE421">
        <f t="shared" si="338"/>
        <v>-1.9944090295225332E-3</v>
      </c>
      <c r="AF421">
        <f t="shared" si="339"/>
        <v>1.7044616674795499E-2</v>
      </c>
      <c r="AG421">
        <f t="shared" si="315"/>
        <v>17743.332908895383</v>
      </c>
      <c r="AH421">
        <f t="shared" si="316"/>
        <v>-2134.8361222539397</v>
      </c>
      <c r="AJ421">
        <f t="shared" si="340"/>
        <v>18000</v>
      </c>
      <c r="AK421">
        <f t="shared" si="341"/>
        <v>695311.10830565996</v>
      </c>
      <c r="AL421">
        <v>1</v>
      </c>
      <c r="AM421">
        <f t="shared" si="342"/>
        <v>424.91234396456997</v>
      </c>
      <c r="AN421">
        <f t="shared" si="317"/>
        <v>1636.4542677699596</v>
      </c>
      <c r="AO421">
        <f t="shared" si="318"/>
        <v>-38.510403297661</v>
      </c>
      <c r="AQ421">
        <f t="shared" si="343"/>
        <v>2.3337762062647423E-3</v>
      </c>
      <c r="AR421">
        <f t="shared" si="344"/>
        <v>-4.8309167469680165</v>
      </c>
      <c r="AT421">
        <f t="shared" si="365"/>
        <v>-10271.806606866203</v>
      </c>
      <c r="AU421">
        <f t="shared" si="366"/>
        <v>-85721.546326357842</v>
      </c>
      <c r="AV421">
        <f t="shared" si="354"/>
        <v>-1.6900552902533725</v>
      </c>
      <c r="AW421">
        <f t="shared" si="355"/>
        <v>41315.158387961659</v>
      </c>
      <c r="AX421">
        <f t="shared" si="356"/>
        <v>-13269.671178281667</v>
      </c>
      <c r="AY421">
        <f t="shared" si="364"/>
        <v>-0.31077447479572234</v>
      </c>
      <c r="BA421">
        <f t="shared" si="345"/>
        <v>1.9895623383209107</v>
      </c>
      <c r="BB421">
        <f t="shared" si="357"/>
        <v>5.9751510261160021</v>
      </c>
      <c r="BC421">
        <f t="shared" si="358"/>
        <v>-1.3792808154576501</v>
      </c>
      <c r="BD421">
        <f t="shared" si="346"/>
        <v>-259.02696957938736</v>
      </c>
      <c r="BF421">
        <f t="shared" si="347"/>
        <v>-40.787797411024478</v>
      </c>
      <c r="BG421">
        <f t="shared" si="348"/>
        <v>-169.86544817292102</v>
      </c>
      <c r="BH421">
        <f t="shared" si="359"/>
        <v>10.13455182707898</v>
      </c>
      <c r="BI421">
        <f t="shared" si="360"/>
        <v>10.13455182707898</v>
      </c>
      <c r="BJ421">
        <f t="shared" si="349"/>
        <v>0</v>
      </c>
      <c r="BK421">
        <f t="shared" si="361"/>
        <v>0</v>
      </c>
      <c r="BM421">
        <f t="shared" si="362"/>
        <v>-46.762948437140473</v>
      </c>
      <c r="BN421">
        <f t="shared" si="350"/>
        <v>-90.838478593533637</v>
      </c>
      <c r="BQ421" s="66">
        <f t="shared" si="363"/>
        <v>22.877111826401141</v>
      </c>
    </row>
    <row r="422" spans="1:69" x14ac:dyDescent="0.2">
      <c r="A422">
        <f t="shared" si="319"/>
        <v>1040000</v>
      </c>
      <c r="B422">
        <f t="shared" si="351"/>
        <v>1040</v>
      </c>
      <c r="C422">
        <f t="shared" si="320"/>
        <v>64.699404356811627</v>
      </c>
      <c r="D422">
        <f t="shared" si="321"/>
        <v>1.5553396185089916</v>
      </c>
      <c r="F422">
        <f t="shared" si="322"/>
        <v>4.707252843385793E-6</v>
      </c>
      <c r="G422">
        <f t="shared" si="323"/>
        <v>8.9283918104108347E-4</v>
      </c>
      <c r="H422">
        <f t="shared" si="324"/>
        <v>-3.1406998108189592</v>
      </c>
      <c r="J422">
        <f t="shared" si="325"/>
        <v>15</v>
      </c>
      <c r="M422">
        <f t="shared" si="326"/>
        <v>3.243749190336361E-3</v>
      </c>
      <c r="N422">
        <f t="shared" si="327"/>
        <v>-1.5707963250000001</v>
      </c>
      <c r="O422">
        <f t="shared" si="328"/>
        <v>308.16924198728015</v>
      </c>
      <c r="P422">
        <f t="shared" si="329"/>
        <v>1.5675513509221211</v>
      </c>
      <c r="Q422">
        <f t="shared" si="330"/>
        <v>426.96623165648344</v>
      </c>
      <c r="R422">
        <f t="shared" si="331"/>
        <v>1.5684542190587281</v>
      </c>
      <c r="S422">
        <f t="shared" si="332"/>
        <v>2.5754686362505618E-2</v>
      </c>
      <c r="T422">
        <f t="shared" si="333"/>
        <v>-1.5450387923850171</v>
      </c>
      <c r="U422">
        <f t="shared" si="334"/>
        <v>0.99315875062343373</v>
      </c>
      <c r="V422">
        <f t="shared" si="335"/>
        <v>-0.1170390027930151</v>
      </c>
      <c r="X422">
        <f t="shared" si="352"/>
        <v>-26.042718155200891</v>
      </c>
      <c r="Y422">
        <f t="shared" si="336"/>
        <v>-96.384607231394895</v>
      </c>
      <c r="Z422">
        <f t="shared" si="353"/>
        <v>83.615392768605105</v>
      </c>
      <c r="AC422">
        <v>1</v>
      </c>
      <c r="AD422">
        <f t="shared" si="337"/>
        <v>308.16761949792004</v>
      </c>
      <c r="AE422">
        <f t="shared" si="338"/>
        <v>-2.0137252270359374E-3</v>
      </c>
      <c r="AF422">
        <f t="shared" si="339"/>
        <v>1.7126957818151999E-2</v>
      </c>
      <c r="AG422">
        <f t="shared" si="315"/>
        <v>17741.012129072082</v>
      </c>
      <c r="AH422">
        <f t="shared" si="316"/>
        <v>-2144.3109784820899</v>
      </c>
      <c r="AJ422">
        <f t="shared" si="340"/>
        <v>18000</v>
      </c>
      <c r="AK422">
        <f t="shared" si="341"/>
        <v>698670.09916703997</v>
      </c>
      <c r="AL422">
        <v>1</v>
      </c>
      <c r="AM422">
        <f t="shared" si="342"/>
        <v>426.96506060207997</v>
      </c>
      <c r="AN422">
        <f t="shared" si="317"/>
        <v>1636.4533984137443</v>
      </c>
      <c r="AO422">
        <f t="shared" si="318"/>
        <v>-38.325259164090347</v>
      </c>
      <c r="AQ422">
        <f t="shared" si="343"/>
        <v>2.3113899982918828E-3</v>
      </c>
      <c r="AR422">
        <f t="shared" si="344"/>
        <v>-4.8076911964471165</v>
      </c>
      <c r="AT422">
        <f t="shared" si="365"/>
        <v>-10268.178615698534</v>
      </c>
      <c r="AU422">
        <f t="shared" si="366"/>
        <v>-85298.264167950256</v>
      </c>
      <c r="AV422">
        <f t="shared" si="354"/>
        <v>-1.6905995362669592</v>
      </c>
      <c r="AW422">
        <f t="shared" si="355"/>
        <v>41311.696267540232</v>
      </c>
      <c r="AX422">
        <f t="shared" si="356"/>
        <v>-13250.213296466731</v>
      </c>
      <c r="AY422">
        <f t="shared" si="364"/>
        <v>-0.31037186454212279</v>
      </c>
      <c r="BA422">
        <f t="shared" si="345"/>
        <v>1.9802893448495724</v>
      </c>
      <c r="BB422">
        <f t="shared" si="357"/>
        <v>5.9345730142284294</v>
      </c>
      <c r="BC422">
        <f t="shared" si="358"/>
        <v>-1.3802276717248365</v>
      </c>
      <c r="BD422">
        <f t="shared" si="346"/>
        <v>-259.08122044736467</v>
      </c>
      <c r="BF422">
        <f t="shared" si="347"/>
        <v>-40.870245627104033</v>
      </c>
      <c r="BG422">
        <f t="shared" si="348"/>
        <v>-169.91566857856782</v>
      </c>
      <c r="BH422">
        <f t="shared" si="359"/>
        <v>10.084331421432182</v>
      </c>
      <c r="BI422">
        <f t="shared" si="360"/>
        <v>10.084331421432182</v>
      </c>
      <c r="BJ422">
        <f t="shared" si="349"/>
        <v>0</v>
      </c>
      <c r="BK422">
        <f t="shared" si="361"/>
        <v>0</v>
      </c>
      <c r="BM422">
        <f t="shared" si="362"/>
        <v>-46.80481864133246</v>
      </c>
      <c r="BN422">
        <f t="shared" si="350"/>
        <v>-90.834448131203175</v>
      </c>
      <c r="BQ422" s="66">
        <f t="shared" si="363"/>
        <v>22.836533814513565</v>
      </c>
    </row>
    <row r="423" spans="1:69" x14ac:dyDescent="0.2">
      <c r="A423">
        <f t="shared" si="319"/>
        <v>1045000</v>
      </c>
      <c r="B423">
        <f t="shared" si="351"/>
        <v>1045</v>
      </c>
      <c r="C423">
        <f t="shared" si="320"/>
        <v>65.010385055039919</v>
      </c>
      <c r="D423">
        <f t="shared" si="321"/>
        <v>1.5554135623568393</v>
      </c>
      <c r="F423">
        <f t="shared" si="322"/>
        <v>4.6623149323923412E-6</v>
      </c>
      <c r="G423">
        <f t="shared" si="323"/>
        <v>8.8856718522250763E-4</v>
      </c>
      <c r="H423">
        <f t="shared" si="324"/>
        <v>-3.1407040828147776</v>
      </c>
      <c r="J423">
        <f t="shared" si="325"/>
        <v>15</v>
      </c>
      <c r="M423">
        <f t="shared" si="326"/>
        <v>3.2282288592821199E-3</v>
      </c>
      <c r="N423">
        <f t="shared" si="327"/>
        <v>-1.5707963250000001</v>
      </c>
      <c r="O423">
        <f t="shared" si="328"/>
        <v>309.65080931795376</v>
      </c>
      <c r="P423">
        <f t="shared" si="329"/>
        <v>1.5675668770142581</v>
      </c>
      <c r="Q423">
        <f t="shared" si="330"/>
        <v>429.01894269087757</v>
      </c>
      <c r="R423">
        <f t="shared" si="331"/>
        <v>1.5684654252751515</v>
      </c>
      <c r="S423">
        <f t="shared" si="332"/>
        <v>2.5631539350496706E-2</v>
      </c>
      <c r="T423">
        <f t="shared" si="333"/>
        <v>-1.5451619800641305</v>
      </c>
      <c r="U423">
        <f t="shared" si="334"/>
        <v>0.99309349280233949</v>
      </c>
      <c r="V423">
        <f t="shared" si="335"/>
        <v>-0.11759652924812911</v>
      </c>
      <c r="X423">
        <f t="shared" si="352"/>
        <v>-26.084931352026651</v>
      </c>
      <c r="Y423">
        <f t="shared" si="336"/>
        <v>-96.418085726850009</v>
      </c>
      <c r="Z423">
        <f t="shared" si="353"/>
        <v>83.581914273149991</v>
      </c>
      <c r="AC423">
        <v>1</v>
      </c>
      <c r="AD423">
        <f t="shared" si="337"/>
        <v>309.64919459166003</v>
      </c>
      <c r="AE423">
        <f t="shared" si="338"/>
        <v>-2.03313451465784E-3</v>
      </c>
      <c r="AF423">
        <f t="shared" si="339"/>
        <v>1.7209298961508503E-2</v>
      </c>
      <c r="AG423">
        <f t="shared" si="315"/>
        <v>17738.680776186513</v>
      </c>
      <c r="AH423">
        <f t="shared" si="316"/>
        <v>-2153.7846610407964</v>
      </c>
      <c r="AJ423">
        <f t="shared" si="340"/>
        <v>18000</v>
      </c>
      <c r="AK423">
        <f t="shared" si="341"/>
        <v>702029.09002841997</v>
      </c>
      <c r="AL423">
        <v>1</v>
      </c>
      <c r="AM423">
        <f t="shared" si="342"/>
        <v>429.01777723959003</v>
      </c>
      <c r="AN423">
        <f t="shared" si="317"/>
        <v>1636.4525415063583</v>
      </c>
      <c r="AO423">
        <f t="shared" si="318"/>
        <v>-38.141886715699492</v>
      </c>
      <c r="AQ423">
        <f t="shared" si="343"/>
        <v>2.2893243539927307E-3</v>
      </c>
      <c r="AR423">
        <f t="shared" si="344"/>
        <v>-4.7846878998448066</v>
      </c>
      <c r="AT423">
        <f t="shared" si="365"/>
        <v>-10264.57781264462</v>
      </c>
      <c r="AU423">
        <f t="shared" si="366"/>
        <v>-84878.981980707074</v>
      </c>
      <c r="AV423">
        <f t="shared" si="354"/>
        <v>-1.6911438369606551</v>
      </c>
      <c r="AW423">
        <f t="shared" si="355"/>
        <v>41308.185311358517</v>
      </c>
      <c r="AX423">
        <f t="shared" si="356"/>
        <v>-13231.142741322257</v>
      </c>
      <c r="AY423">
        <f t="shared" si="364"/>
        <v>-0.30997793026667042</v>
      </c>
      <c r="BA423">
        <f t="shared" si="345"/>
        <v>1.9711010424475224</v>
      </c>
      <c r="BB423">
        <f t="shared" si="357"/>
        <v>5.8941777524852128</v>
      </c>
      <c r="BC423">
        <f t="shared" si="358"/>
        <v>-1.3811659066939845</v>
      </c>
      <c r="BD423">
        <f t="shared" si="346"/>
        <v>-259.13497735134985</v>
      </c>
      <c r="BF423">
        <f t="shared" si="347"/>
        <v>-40.952310176784515</v>
      </c>
      <c r="BG423">
        <f t="shared" si="348"/>
        <v>-169.96543357947633</v>
      </c>
      <c r="BH423">
        <f t="shared" si="359"/>
        <v>10.034566420523674</v>
      </c>
      <c r="BI423">
        <f t="shared" si="360"/>
        <v>10.034566420523674</v>
      </c>
      <c r="BJ423">
        <f t="shared" si="349"/>
        <v>0</v>
      </c>
      <c r="BK423">
        <f t="shared" si="361"/>
        <v>0</v>
      </c>
      <c r="BM423">
        <f t="shared" si="362"/>
        <v>-46.846487929269728</v>
      </c>
      <c r="BN423">
        <f t="shared" si="350"/>
        <v>-90.830456228126494</v>
      </c>
      <c r="BQ423" s="66">
        <f t="shared" si="363"/>
        <v>22.796138552770348</v>
      </c>
    </row>
    <row r="424" spans="1:69" x14ac:dyDescent="0.2">
      <c r="A424">
        <f t="shared" si="319"/>
        <v>1050000</v>
      </c>
      <c r="B424">
        <f t="shared" si="351"/>
        <v>1050</v>
      </c>
      <c r="C424">
        <f t="shared" si="320"/>
        <v>65.321366105340516</v>
      </c>
      <c r="D424">
        <f t="shared" si="321"/>
        <v>1.5554868021434016</v>
      </c>
      <c r="F424">
        <f t="shared" si="322"/>
        <v>4.6180174654854174E-6</v>
      </c>
      <c r="G424">
        <f t="shared" si="323"/>
        <v>8.8433587561758851E-4</v>
      </c>
      <c r="H424">
        <f t="shared" si="324"/>
        <v>-3.1407083141243826</v>
      </c>
      <c r="J424">
        <f t="shared" si="325"/>
        <v>15</v>
      </c>
      <c r="M424">
        <f t="shared" si="326"/>
        <v>3.2128563409045863E-3</v>
      </c>
      <c r="N424">
        <f t="shared" si="327"/>
        <v>-1.5707963250000001</v>
      </c>
      <c r="O424">
        <f t="shared" si="328"/>
        <v>311.13237672256071</v>
      </c>
      <c r="P424">
        <f t="shared" si="329"/>
        <v>1.5675822552403855</v>
      </c>
      <c r="Q424">
        <f t="shared" si="330"/>
        <v>431.07165377863453</v>
      </c>
      <c r="R424">
        <f t="shared" si="331"/>
        <v>1.5684765247662815</v>
      </c>
      <c r="S424">
        <f t="shared" si="332"/>
        <v>2.5509564016874261E-2</v>
      </c>
      <c r="T424">
        <f t="shared" si="333"/>
        <v>-1.5452839952943704</v>
      </c>
      <c r="U424">
        <f t="shared" si="334"/>
        <v>0.99302793494883124</v>
      </c>
      <c r="V424">
        <f t="shared" si="335"/>
        <v>-0.11815398226764499</v>
      </c>
      <c r="X424">
        <f t="shared" si="352"/>
        <v>-26.12694859621973</v>
      </c>
      <c r="Y424">
        <f t="shared" si="336"/>
        <v>-96.451545433982091</v>
      </c>
      <c r="Z424">
        <f t="shared" si="353"/>
        <v>83.548454566017909</v>
      </c>
      <c r="AC424">
        <v>1</v>
      </c>
      <c r="AD424">
        <f t="shared" si="337"/>
        <v>311.13076968540003</v>
      </c>
      <c r="AE424">
        <f t="shared" si="338"/>
        <v>-2.0526368923882406E-3</v>
      </c>
      <c r="AF424">
        <f t="shared" si="339"/>
        <v>1.7291640104864999E-2</v>
      </c>
      <c r="AG424">
        <f t="shared" ref="AG424:AG487" si="367">AC424*AE424/(AE424^2+AF424^2)+AD424*AF424/(AE424^2+AF424^2)</f>
        <v>17736.338858813884</v>
      </c>
      <c r="AH424">
        <f t="shared" ref="AH424:AH487" si="368">AD424*AE424/(AE424^2+AF424^2)-AC424*AF424/(AE424^2+AF424^2)</f>
        <v>-2163.2571144582344</v>
      </c>
      <c r="AJ424">
        <f t="shared" si="340"/>
        <v>18000</v>
      </c>
      <c r="AK424">
        <f t="shared" si="341"/>
        <v>705388.08088979998</v>
      </c>
      <c r="AL424">
        <v>1</v>
      </c>
      <c r="AM424">
        <f t="shared" si="342"/>
        <v>431.07049387710003</v>
      </c>
      <c r="AN424">
        <f t="shared" ref="AN424:AN487" si="369">AJ424*AL424/(AL424^2+AM424^2)+AK424*AM424/(AL424^2+AM424^2)</f>
        <v>1636.4516968112487</v>
      </c>
      <c r="AO424">
        <f t="shared" ref="AO424:AO487" si="370">AK424*AL424/(AL424^2+AM424^2)-AJ424*AM424/(AL424^2+AM424^2)</f>
        <v>-37.960260643248915</v>
      </c>
      <c r="AQ424">
        <f t="shared" si="343"/>
        <v>2.2675731819561946E-3</v>
      </c>
      <c r="AR424">
        <f t="shared" si="344"/>
        <v>-4.7619036821080085</v>
      </c>
      <c r="AT424">
        <f t="shared" si="365"/>
        <v>-10261.003572342677</v>
      </c>
      <c r="AU424">
        <f t="shared" si="366"/>
        <v>-84463.642662719605</v>
      </c>
      <c r="AV424">
        <f t="shared" si="354"/>
        <v>-1.6916881901768555</v>
      </c>
      <c r="AW424">
        <f t="shared" si="355"/>
        <v>41304.626015303489</v>
      </c>
      <c r="AX424">
        <f t="shared" si="356"/>
        <v>-13212.453815966852</v>
      </c>
      <c r="AY424">
        <f t="shared" si="364"/>
        <v>-0.30959255094162036</v>
      </c>
      <c r="BA424">
        <f t="shared" si="345"/>
        <v>1.9619962949494205</v>
      </c>
      <c r="BB424">
        <f t="shared" si="357"/>
        <v>5.8539636583858199</v>
      </c>
      <c r="BC424">
        <f t="shared" si="358"/>
        <v>-1.382095639235235</v>
      </c>
      <c r="BD424">
        <f t="shared" si="346"/>
        <v>-259.18824710210038</v>
      </c>
      <c r="BF424">
        <f t="shared" si="347"/>
        <v>-41.03399456204172</v>
      </c>
      <c r="BG424">
        <f t="shared" si="348"/>
        <v>-170.01474943574203</v>
      </c>
      <c r="BH424">
        <f t="shared" si="359"/>
        <v>9.9852505642579672</v>
      </c>
      <c r="BI424">
        <f t="shared" si="360"/>
        <v>9.9852505642579672</v>
      </c>
      <c r="BJ424">
        <f t="shared" si="349"/>
        <v>0</v>
      </c>
      <c r="BK424">
        <f t="shared" si="361"/>
        <v>0</v>
      </c>
      <c r="BM424">
        <f t="shared" si="362"/>
        <v>-46.887958220427535</v>
      </c>
      <c r="BN424">
        <f t="shared" si="350"/>
        <v>-90.826502333641685</v>
      </c>
      <c r="BQ424" s="66">
        <f t="shared" si="363"/>
        <v>22.755924458670957</v>
      </c>
    </row>
    <row r="425" spans="1:69" x14ac:dyDescent="0.2">
      <c r="A425">
        <f t="shared" si="319"/>
        <v>1055000</v>
      </c>
      <c r="B425">
        <f t="shared" si="351"/>
        <v>1055</v>
      </c>
      <c r="C425">
        <f t="shared" si="320"/>
        <v>65.632347502708825</v>
      </c>
      <c r="D425">
        <f t="shared" si="321"/>
        <v>1.5555593478759078</v>
      </c>
      <c r="F425">
        <f t="shared" si="322"/>
        <v>4.5743483302754968E-6</v>
      </c>
      <c r="G425">
        <f t="shared" si="323"/>
        <v>8.8014467373920561E-4</v>
      </c>
      <c r="H425">
        <f t="shared" si="324"/>
        <v>-3.140712505326261</v>
      </c>
      <c r="J425">
        <f t="shared" si="325"/>
        <v>15</v>
      </c>
      <c r="M425">
        <f t="shared" si="326"/>
        <v>3.1976295336017205E-3</v>
      </c>
      <c r="N425">
        <f t="shared" si="327"/>
        <v>-1.5707963250000001</v>
      </c>
      <c r="O425">
        <f t="shared" si="328"/>
        <v>312.6139442000499</v>
      </c>
      <c r="P425">
        <f t="shared" si="329"/>
        <v>1.5675974877028351</v>
      </c>
      <c r="Q425">
        <f t="shared" si="330"/>
        <v>433.12436491899552</v>
      </c>
      <c r="R425">
        <f t="shared" si="331"/>
        <v>1.5684875190495282</v>
      </c>
      <c r="S425">
        <f t="shared" si="332"/>
        <v>2.5388743724338105E-2</v>
      </c>
      <c r="T425">
        <f t="shared" si="333"/>
        <v>-1.5454048547311965</v>
      </c>
      <c r="U425">
        <f t="shared" si="334"/>
        <v>0.99296207724454588</v>
      </c>
      <c r="V425">
        <f t="shared" si="335"/>
        <v>-0.11871136151967812</v>
      </c>
      <c r="X425">
        <f t="shared" si="352"/>
        <v>-26.168771771582389</v>
      </c>
      <c r="Y425">
        <f t="shared" si="336"/>
        <v>-96.484986540440104</v>
      </c>
      <c r="Z425">
        <f t="shared" si="353"/>
        <v>83.515013459559896</v>
      </c>
      <c r="AC425">
        <v>1</v>
      </c>
      <c r="AD425">
        <f t="shared" si="337"/>
        <v>312.61234477914007</v>
      </c>
      <c r="AE425">
        <f t="shared" si="338"/>
        <v>-2.0722323602271396E-3</v>
      </c>
      <c r="AF425">
        <f t="shared" si="339"/>
        <v>1.7373981248221503E-2</v>
      </c>
      <c r="AG425">
        <f t="shared" si="367"/>
        <v>17733.986385564836</v>
      </c>
      <c r="AH425">
        <f t="shared" si="368"/>
        <v>-2172.7282840171811</v>
      </c>
      <c r="AJ425">
        <f t="shared" si="340"/>
        <v>18000</v>
      </c>
      <c r="AK425">
        <f t="shared" si="341"/>
        <v>708747.07175117999</v>
      </c>
      <c r="AL425">
        <v>1</v>
      </c>
      <c r="AM425">
        <f t="shared" si="342"/>
        <v>433.12321051460992</v>
      </c>
      <c r="AN425">
        <f t="shared" si="369"/>
        <v>1636.450864097455</v>
      </c>
      <c r="AO425">
        <f t="shared" si="370"/>
        <v>-37.780356117282189</v>
      </c>
      <c r="AQ425">
        <f t="shared" si="343"/>
        <v>2.2461305347744806E-3</v>
      </c>
      <c r="AR425">
        <f t="shared" si="344"/>
        <v>-4.7393354283741544</v>
      </c>
      <c r="AT425">
        <f t="shared" si="365"/>
        <v>-10257.455284349315</v>
      </c>
      <c r="AU425">
        <f t="shared" si="366"/>
        <v>-84052.190194754847</v>
      </c>
      <c r="AV425">
        <f t="shared" si="354"/>
        <v>-1.6922325937928309</v>
      </c>
      <c r="AW425">
        <f t="shared" si="355"/>
        <v>41301.018864074402</v>
      </c>
      <c r="AX425">
        <f t="shared" si="356"/>
        <v>-13194.140930881538</v>
      </c>
      <c r="AY425">
        <f t="shared" si="364"/>
        <v>-0.30921560773011941</v>
      </c>
      <c r="BA425">
        <f t="shared" si="345"/>
        <v>1.952973986069874</v>
      </c>
      <c r="BB425">
        <f t="shared" si="357"/>
        <v>5.8139291690694321</v>
      </c>
      <c r="BC425">
        <f t="shared" si="358"/>
        <v>-1.3830169860627115</v>
      </c>
      <c r="BD425">
        <f t="shared" si="346"/>
        <v>-259.24103638684284</v>
      </c>
      <c r="BF425">
        <f t="shared" si="347"/>
        <v>-41.115302237828942</v>
      </c>
      <c r="BG425">
        <f t="shared" si="348"/>
        <v>-170.06362229436448</v>
      </c>
      <c r="BH425">
        <f t="shared" si="359"/>
        <v>9.9363777056355218</v>
      </c>
      <c r="BI425">
        <f t="shared" si="360"/>
        <v>9.9363777056355218</v>
      </c>
      <c r="BJ425">
        <f t="shared" si="349"/>
        <v>0</v>
      </c>
      <c r="BK425">
        <f t="shared" si="361"/>
        <v>0</v>
      </c>
      <c r="BM425">
        <f t="shared" si="362"/>
        <v>-46.929231406898381</v>
      </c>
      <c r="BN425">
        <f t="shared" si="350"/>
        <v>-90.822585907521642</v>
      </c>
      <c r="BQ425" s="66">
        <f t="shared" si="363"/>
        <v>22.715889969354567</v>
      </c>
    </row>
    <row r="426" spans="1:69" x14ac:dyDescent="0.2">
      <c r="A426">
        <f t="shared" si="319"/>
        <v>1060000</v>
      </c>
      <c r="B426">
        <f t="shared" si="351"/>
        <v>1060</v>
      </c>
      <c r="C426">
        <f t="shared" si="320"/>
        <v>65.943329242234611</v>
      </c>
      <c r="D426">
        <f t="shared" si="321"/>
        <v>1.5556312093728444</v>
      </c>
      <c r="F426">
        <f t="shared" si="322"/>
        <v>4.5312956993696612E-6</v>
      </c>
      <c r="G426">
        <f t="shared" si="323"/>
        <v>8.7599301201532682E-4</v>
      </c>
      <c r="H426">
        <f t="shared" si="324"/>
        <v>-3.1407166569879847</v>
      </c>
      <c r="J426">
        <f t="shared" si="325"/>
        <v>15</v>
      </c>
      <c r="M426">
        <f t="shared" si="326"/>
        <v>3.1825463754243544E-3</v>
      </c>
      <c r="N426">
        <f t="shared" si="327"/>
        <v>-1.5707963250000001</v>
      </c>
      <c r="O426">
        <f t="shared" si="328"/>
        <v>314.09551174939003</v>
      </c>
      <c r="P426">
        <f t="shared" si="329"/>
        <v>1.5676125764642725</v>
      </c>
      <c r="Q426">
        <f t="shared" si="330"/>
        <v>435.17707611121625</v>
      </c>
      <c r="R426">
        <f t="shared" si="331"/>
        <v>1.5684984096136718</v>
      </c>
      <c r="S426">
        <f t="shared" si="332"/>
        <v>2.5269062148993254E-2</v>
      </c>
      <c r="T426">
        <f t="shared" si="333"/>
        <v>-1.5455245747161517</v>
      </c>
      <c r="U426">
        <f t="shared" si="334"/>
        <v>0.99289591987188608</v>
      </c>
      <c r="V426">
        <f t="shared" si="335"/>
        <v>-0.11926866667261508</v>
      </c>
      <c r="X426">
        <f t="shared" si="352"/>
        <v>-26.210402735217983</v>
      </c>
      <c r="Y426">
        <f t="shared" si="336"/>
        <v>-96.518409230004181</v>
      </c>
      <c r="Z426">
        <f t="shared" si="353"/>
        <v>83.481590769995819</v>
      </c>
      <c r="AC426">
        <v>1</v>
      </c>
      <c r="AD426">
        <f t="shared" si="337"/>
        <v>314.09391987288006</v>
      </c>
      <c r="AE426">
        <f t="shared" si="338"/>
        <v>-2.0919209181745374E-3</v>
      </c>
      <c r="AF426">
        <f t="shared" si="339"/>
        <v>1.7456322391577999E-2</v>
      </c>
      <c r="AG426">
        <f t="shared" si="367"/>
        <v>17731.623365085346</v>
      </c>
      <c r="AH426">
        <f t="shared" si="368"/>
        <v>-2182.1981157378773</v>
      </c>
      <c r="AJ426">
        <f t="shared" si="340"/>
        <v>18000</v>
      </c>
      <c r="AK426">
        <f t="shared" si="341"/>
        <v>712106.06261256</v>
      </c>
      <c r="AL426">
        <v>1</v>
      </c>
      <c r="AM426">
        <f t="shared" si="342"/>
        <v>435.17592715211998</v>
      </c>
      <c r="AN426">
        <f t="shared" si="369"/>
        <v>1636.4500431394497</v>
      </c>
      <c r="AO426">
        <f t="shared" si="370"/>
        <v>-37.602148776810694</v>
      </c>
      <c r="AQ426">
        <f t="shared" si="343"/>
        <v>2.2249906049771704E-3</v>
      </c>
      <c r="AR426">
        <f t="shared" si="344"/>
        <v>-4.7169800825516015</v>
      </c>
      <c r="AT426">
        <f t="shared" si="365"/>
        <v>-10253.932352718894</v>
      </c>
      <c r="AU426">
        <f t="shared" si="366"/>
        <v>-83644.569614719891</v>
      </c>
      <c r="AV426">
        <f t="shared" si="354"/>
        <v>-1.6927770457199125</v>
      </c>
      <c r="AW426">
        <f t="shared" si="355"/>
        <v>41297.36433150059</v>
      </c>
      <c r="AX426">
        <f t="shared" si="356"/>
        <v>-13176.198601378203</v>
      </c>
      <c r="AY426">
        <f t="shared" si="364"/>
        <v>-0.30884698393717058</v>
      </c>
      <c r="BA426">
        <f t="shared" si="345"/>
        <v>1.9440330189788224</v>
      </c>
      <c r="BB426">
        <f t="shared" si="357"/>
        <v>5.7740727410079895</v>
      </c>
      <c r="BC426">
        <f t="shared" si="358"/>
        <v>-1.3839300617827419</v>
      </c>
      <c r="BD426">
        <f t="shared" si="346"/>
        <v>-259.29335177203626</v>
      </c>
      <c r="BF426">
        <f t="shared" si="347"/>
        <v>-41.196236612902581</v>
      </c>
      <c r="BG426">
        <f t="shared" si="348"/>
        <v>-170.11205819176422</v>
      </c>
      <c r="BH426">
        <f t="shared" si="359"/>
        <v>9.8879418082357802</v>
      </c>
      <c r="BI426">
        <f t="shared" si="360"/>
        <v>9.8879418082357802</v>
      </c>
      <c r="BJ426">
        <f t="shared" si="349"/>
        <v>0</v>
      </c>
      <c r="BK426">
        <f t="shared" si="361"/>
        <v>0</v>
      </c>
      <c r="BM426">
        <f t="shared" si="362"/>
        <v>-46.970309353910565</v>
      </c>
      <c r="BN426">
        <f t="shared" si="350"/>
        <v>-90.818706419727988</v>
      </c>
      <c r="BQ426" s="66">
        <f t="shared" si="363"/>
        <v>22.67603354129313</v>
      </c>
    </row>
    <row r="427" spans="1:69" x14ac:dyDescent="0.2">
      <c r="A427">
        <f t="shared" si="319"/>
        <v>1065000</v>
      </c>
      <c r="B427">
        <f t="shared" si="351"/>
        <v>1065</v>
      </c>
      <c r="C427">
        <f t="shared" si="320"/>
        <v>66.254311319099898</v>
      </c>
      <c r="D427">
        <f t="shared" si="321"/>
        <v>1.5557023962683842</v>
      </c>
      <c r="F427">
        <f t="shared" si="322"/>
        <v>4.4888480223623607E-6</v>
      </c>
      <c r="G427">
        <f t="shared" si="323"/>
        <v>8.7188033353278105E-4</v>
      </c>
      <c r="H427">
        <f t="shared" si="324"/>
        <v>-3.1407207696664674</v>
      </c>
      <c r="J427">
        <f t="shared" si="325"/>
        <v>15</v>
      </c>
      <c r="M427">
        <f t="shared" si="326"/>
        <v>3.1676048431453665E-3</v>
      </c>
      <c r="N427">
        <f t="shared" si="327"/>
        <v>-1.5707963250000001</v>
      </c>
      <c r="O427">
        <f t="shared" si="328"/>
        <v>315.57707936956899</v>
      </c>
      <c r="P427">
        <f t="shared" si="329"/>
        <v>1.5676275235486279</v>
      </c>
      <c r="Q427">
        <f t="shared" si="330"/>
        <v>437.22978735456621</v>
      </c>
      <c r="R427">
        <f t="shared" si="331"/>
        <v>1.5685091979195347</v>
      </c>
      <c r="S427">
        <f t="shared" si="332"/>
        <v>2.5150503273007097E-2</v>
      </c>
      <c r="T427">
        <f t="shared" si="333"/>
        <v>-1.5456431712842218</v>
      </c>
      <c r="U427">
        <f t="shared" si="334"/>
        <v>0.99282946301401931</v>
      </c>
      <c r="V427">
        <f t="shared" si="335"/>
        <v>-0.11982589739511471</v>
      </c>
      <c r="X427">
        <f t="shared" si="352"/>
        <v>-26.251843318032471</v>
      </c>
      <c r="Y427">
        <f t="shared" si="336"/>
        <v>-96.55181368267661</v>
      </c>
      <c r="Z427">
        <f t="shared" si="353"/>
        <v>83.44818631732339</v>
      </c>
      <c r="AC427">
        <v>1</v>
      </c>
      <c r="AD427">
        <f t="shared" si="337"/>
        <v>315.57549496662</v>
      </c>
      <c r="AE427">
        <f t="shared" si="338"/>
        <v>-2.1117025662304332E-3</v>
      </c>
      <c r="AF427">
        <f t="shared" si="339"/>
        <v>1.7538663534934502E-2</v>
      </c>
      <c r="AG427">
        <f t="shared" si="367"/>
        <v>17729.24980605665</v>
      </c>
      <c r="AH427">
        <f t="shared" si="368"/>
        <v>-2191.6665563613474</v>
      </c>
      <c r="AJ427">
        <f t="shared" si="340"/>
        <v>18000</v>
      </c>
      <c r="AK427">
        <f t="shared" si="341"/>
        <v>715465.05347394</v>
      </c>
      <c r="AL427">
        <v>1</v>
      </c>
      <c r="AM427">
        <f t="shared" si="342"/>
        <v>437.22864378962998</v>
      </c>
      <c r="AN427">
        <f t="shared" si="369"/>
        <v>1636.4492337169888</v>
      </c>
      <c r="AO427">
        <f t="shared" si="370"/>
        <v>-37.425614718317121</v>
      </c>
      <c r="AQ427">
        <f t="shared" si="343"/>
        <v>2.2041477210986088E-3</v>
      </c>
      <c r="AR427">
        <f t="shared" si="344"/>
        <v>-4.6948346459400367</v>
      </c>
      <c r="AT427">
        <f t="shared" si="365"/>
        <v>-10250.434195596537</v>
      </c>
      <c r="AU427">
        <f t="shared" si="366"/>
        <v>-83240.726992846045</v>
      </c>
      <c r="AV427">
        <f t="shared" si="354"/>
        <v>-1.6933215439026985</v>
      </c>
      <c r="AW427">
        <f t="shared" si="355"/>
        <v>41293.662880849057</v>
      </c>
      <c r="AX427">
        <f t="shared" si="356"/>
        <v>-13158.621445139357</v>
      </c>
      <c r="AY427">
        <f t="shared" si="364"/>
        <v>-0.30848656496189547</v>
      </c>
      <c r="BA427">
        <f t="shared" si="345"/>
        <v>1.9351723158875236</v>
      </c>
      <c r="BB427">
        <f t="shared" si="357"/>
        <v>5.7343928497047836</v>
      </c>
      <c r="BC427">
        <f t="shared" si="358"/>
        <v>-1.384834978940803</v>
      </c>
      <c r="BD427">
        <f t="shared" si="346"/>
        <v>-259.34519970606135</v>
      </c>
      <c r="BF427">
        <f t="shared" si="347"/>
        <v>-41.276801050629658</v>
      </c>
      <c r="BG427">
        <f t="shared" si="348"/>
        <v>-170.16006305623341</v>
      </c>
      <c r="BH427">
        <f t="shared" si="359"/>
        <v>9.8399369437665882</v>
      </c>
      <c r="BI427">
        <f t="shared" si="360"/>
        <v>9.8399369437665882</v>
      </c>
      <c r="BJ427">
        <f t="shared" si="349"/>
        <v>0</v>
      </c>
      <c r="BK427">
        <f t="shared" si="361"/>
        <v>0</v>
      </c>
      <c r="BM427">
        <f t="shared" si="362"/>
        <v>-47.01119390033444</v>
      </c>
      <c r="BN427">
        <f t="shared" si="350"/>
        <v>-90.814863350172061</v>
      </c>
      <c r="BQ427" s="66">
        <f t="shared" si="363"/>
        <v>22.636353649989918</v>
      </c>
    </row>
    <row r="428" spans="1:69" x14ac:dyDescent="0.2">
      <c r="A428">
        <f t="shared" ref="A428:A433" si="371">A427+5000</f>
        <v>1070000</v>
      </c>
      <c r="B428">
        <f t="shared" si="351"/>
        <v>1070</v>
      </c>
      <c r="C428">
        <f t="shared" si="320"/>
        <v>66.565293728576705</v>
      </c>
      <c r="D428">
        <f t="shared" si="321"/>
        <v>1.5557729180166904</v>
      </c>
      <c r="F428">
        <f t="shared" si="322"/>
        <v>4.4469940180875333E-6</v>
      </c>
      <c r="G428">
        <f t="shared" si="323"/>
        <v>8.6780609178821011E-4</v>
      </c>
      <c r="H428">
        <f t="shared" si="324"/>
        <v>-3.1407248439082118</v>
      </c>
      <c r="J428">
        <f t="shared" si="325"/>
        <v>15</v>
      </c>
      <c r="M428">
        <f t="shared" si="326"/>
        <v>3.1528029513549671E-3</v>
      </c>
      <c r="N428">
        <f t="shared" si="327"/>
        <v>-1.5707963250000001</v>
      </c>
      <c r="O428">
        <f t="shared" si="328"/>
        <v>317.0586470595938</v>
      </c>
      <c r="P428">
        <f t="shared" si="329"/>
        <v>1.5676423309420022</v>
      </c>
      <c r="Q428">
        <f t="shared" si="330"/>
        <v>439.28249864832873</v>
      </c>
      <c r="R428">
        <f t="shared" si="331"/>
        <v>1.5685198854006341</v>
      </c>
      <c r="S428">
        <f t="shared" si="332"/>
        <v>2.5033051377472058E-2</v>
      </c>
      <c r="T428">
        <f t="shared" si="333"/>
        <v>-1.5457606601709901</v>
      </c>
      <c r="U428">
        <f t="shared" si="334"/>
        <v>0.99276270685487644</v>
      </c>
      <c r="V428">
        <f t="shared" si="335"/>
        <v>-0.1203830533561092</v>
      </c>
      <c r="X428">
        <f t="shared" si="352"/>
        <v>-26.293095325224197</v>
      </c>
      <c r="Y428">
        <f t="shared" si="336"/>
        <v>-96.5852000747701</v>
      </c>
      <c r="Z428">
        <f t="shared" si="353"/>
        <v>83.4147999252299</v>
      </c>
      <c r="AC428">
        <v>1</v>
      </c>
      <c r="AD428">
        <f t="shared" si="337"/>
        <v>317.05707006036005</v>
      </c>
      <c r="AE428">
        <f t="shared" si="338"/>
        <v>-2.1315773043948274E-3</v>
      </c>
      <c r="AF428">
        <f t="shared" si="339"/>
        <v>1.7621004678290999E-2</v>
      </c>
      <c r="AG428">
        <f t="shared" si="367"/>
        <v>17726.865717195204</v>
      </c>
      <c r="AH428">
        <f t="shared" si="368"/>
        <v>-2201.1335533332235</v>
      </c>
      <c r="AJ428">
        <f t="shared" si="340"/>
        <v>18000</v>
      </c>
      <c r="AK428">
        <f t="shared" si="341"/>
        <v>718824.04433531989</v>
      </c>
      <c r="AL428">
        <v>1</v>
      </c>
      <c r="AM428">
        <f t="shared" si="342"/>
        <v>439.28136042713999</v>
      </c>
      <c r="AN428">
        <f t="shared" si="369"/>
        <v>1636.4484356149608</v>
      </c>
      <c r="AO428">
        <f t="shared" si="370"/>
        <v>-37.250730485067166</v>
      </c>
      <c r="AQ428">
        <f t="shared" si="343"/>
        <v>2.1835963438736256E-3</v>
      </c>
      <c r="AR428">
        <f t="shared" si="344"/>
        <v>-4.6728961758895586</v>
      </c>
      <c r="AT428">
        <f t="shared" si="365"/>
        <v>-10246.96024482461</v>
      </c>
      <c r="AU428">
        <f t="shared" si="366"/>
        <v>-82840.609407568612</v>
      </c>
      <c r="AV428">
        <f t="shared" si="354"/>
        <v>-1.6938660863182862</v>
      </c>
      <c r="AW428">
        <f t="shared" si="355"/>
        <v>41289.914965122021</v>
      </c>
      <c r="AX428">
        <f t="shared" si="356"/>
        <v>-13141.404179826928</v>
      </c>
      <c r="AY428">
        <f t="shared" si="364"/>
        <v>-0.30813423825105601</v>
      </c>
      <c r="BA428">
        <f t="shared" si="345"/>
        <v>1.926390817644839</v>
      </c>
      <c r="BB428">
        <f t="shared" si="357"/>
        <v>5.6948879893984481</v>
      </c>
      <c r="BC428">
        <f t="shared" si="358"/>
        <v>-1.38573184806723</v>
      </c>
      <c r="BD428">
        <f t="shared" si="346"/>
        <v>-259.39658652183994</v>
      </c>
      <c r="BF428">
        <f t="shared" si="347"/>
        <v>-41.356998869778387</v>
      </c>
      <c r="BG428">
        <f t="shared" si="348"/>
        <v>-170.20764271032249</v>
      </c>
      <c r="BH428">
        <f t="shared" si="359"/>
        <v>9.7923572896775113</v>
      </c>
      <c r="BI428">
        <f t="shared" si="360"/>
        <v>9.7923572896775113</v>
      </c>
      <c r="BJ428">
        <f t="shared" si="349"/>
        <v>0</v>
      </c>
      <c r="BK428">
        <f t="shared" si="361"/>
        <v>0</v>
      </c>
      <c r="BM428">
        <f t="shared" si="362"/>
        <v>-47.051886859176832</v>
      </c>
      <c r="BN428">
        <f t="shared" si="350"/>
        <v>-90.811056188482553</v>
      </c>
      <c r="BQ428" s="66">
        <f t="shared" si="363"/>
        <v>22.596848789683584</v>
      </c>
    </row>
    <row r="429" spans="1:69" x14ac:dyDescent="0.2">
      <c r="A429">
        <f t="shared" si="371"/>
        <v>1075000</v>
      </c>
      <c r="B429">
        <f t="shared" si="351"/>
        <v>1075</v>
      </c>
      <c r="C429">
        <f t="shared" si="320"/>
        <v>66.876276466024962</v>
      </c>
      <c r="D429">
        <f t="shared" si="321"/>
        <v>1.5558427838961004</v>
      </c>
      <c r="F429">
        <f t="shared" si="322"/>
        <v>4.4057226671224032E-6</v>
      </c>
      <c r="G429">
        <f t="shared" si="323"/>
        <v>8.6376975044597632E-4</v>
      </c>
      <c r="H429">
        <f t="shared" si="324"/>
        <v>-3.1407288802495543</v>
      </c>
      <c r="J429">
        <f t="shared" si="325"/>
        <v>15</v>
      </c>
      <c r="M429">
        <f t="shared" si="326"/>
        <v>3.1381387515812234E-3</v>
      </c>
      <c r="N429">
        <f t="shared" si="327"/>
        <v>-1.5707963250000001</v>
      </c>
      <c r="O429">
        <f t="shared" si="328"/>
        <v>318.54021481848986</v>
      </c>
      <c r="P429">
        <f t="shared" si="329"/>
        <v>1.5676570005935464</v>
      </c>
      <c r="Q429">
        <f t="shared" si="330"/>
        <v>441.3352099918003</v>
      </c>
      <c r="R429">
        <f t="shared" si="331"/>
        <v>1.5685304734638175</v>
      </c>
      <c r="S429">
        <f t="shared" si="332"/>
        <v>2.4916691035466929E-2</v>
      </c>
      <c r="T429">
        <f t="shared" si="333"/>
        <v>-1.5458770568195903</v>
      </c>
      <c r="U429">
        <f t="shared" si="334"/>
        <v>0.99269565157914985</v>
      </c>
      <c r="V429">
        <f t="shared" si="335"/>
        <v>-0.12094013422480529</v>
      </c>
      <c r="X429">
        <f t="shared" si="352"/>
        <v>-26.334160536762354</v>
      </c>
      <c r="Y429">
        <f t="shared" si="336"/>
        <v>-96.618568578993646</v>
      </c>
      <c r="Z429">
        <f t="shared" si="353"/>
        <v>83.381431421006354</v>
      </c>
      <c r="AC429">
        <v>1</v>
      </c>
      <c r="AD429">
        <f t="shared" si="337"/>
        <v>318.53864515410004</v>
      </c>
      <c r="AE429">
        <f t="shared" si="338"/>
        <v>-2.1515451326677196E-3</v>
      </c>
      <c r="AF429">
        <f t="shared" si="339"/>
        <v>1.7703345821647502E-2</v>
      </c>
      <c r="AG429">
        <f t="shared" si="367"/>
        <v>17724.471107252539</v>
      </c>
      <c r="AH429">
        <f t="shared" si="368"/>
        <v>-2210.5990547879869</v>
      </c>
      <c r="AJ429">
        <f t="shared" si="340"/>
        <v>18000</v>
      </c>
      <c r="AK429">
        <f t="shared" si="341"/>
        <v>722183.0351966999</v>
      </c>
      <c r="AL429">
        <v>1</v>
      </c>
      <c r="AM429">
        <f t="shared" si="342"/>
        <v>441.33407706464999</v>
      </c>
      <c r="AN429">
        <f t="shared" si="369"/>
        <v>1636.4476486232452</v>
      </c>
      <c r="AO429">
        <f t="shared" si="370"/>
        <v>-37.077473056719562</v>
      </c>
      <c r="AQ429">
        <f t="shared" si="343"/>
        <v>2.1633310625568279E-3</v>
      </c>
      <c r="AR429">
        <f t="shared" si="344"/>
        <v>-4.6511617844971802</v>
      </c>
      <c r="AT429">
        <f t="shared" si="365"/>
        <v>-10243.509945561762</v>
      </c>
      <c r="AU429">
        <f t="shared" si="366"/>
        <v>-82444.164922079508</v>
      </c>
      <c r="AV429">
        <f t="shared" si="354"/>
        <v>-1.6944106709755222</v>
      </c>
      <c r="AW429">
        <f t="shared" si="355"/>
        <v>41286.121027344605</v>
      </c>
      <c r="AX429">
        <f t="shared" si="356"/>
        <v>-13124.541620757795</v>
      </c>
      <c r="AY429">
        <f t="shared" si="364"/>
        <v>-0.30778989325379963</v>
      </c>
      <c r="BA429">
        <f t="shared" si="345"/>
        <v>1.9176874833435289</v>
      </c>
      <c r="BB429">
        <f t="shared" si="357"/>
        <v>5.6555566727723026</v>
      </c>
      <c r="BC429">
        <f t="shared" si="358"/>
        <v>-1.3866207777217225</v>
      </c>
      <c r="BD429">
        <f t="shared" si="346"/>
        <v>-259.44751843938457</v>
      </c>
      <c r="BF429">
        <f t="shared" si="347"/>
        <v>-41.436833345291632</v>
      </c>
      <c r="BG429">
        <f t="shared" si="348"/>
        <v>-170.25480287316424</v>
      </c>
      <c r="BH429">
        <f t="shared" si="359"/>
        <v>9.7451971268357624</v>
      </c>
      <c r="BI429">
        <f t="shared" si="360"/>
        <v>9.7451971268357624</v>
      </c>
      <c r="BJ429">
        <f t="shared" si="349"/>
        <v>0</v>
      </c>
      <c r="BK429">
        <f t="shared" si="361"/>
        <v>0</v>
      </c>
      <c r="BM429">
        <f t="shared" si="362"/>
        <v>-47.092390018063938</v>
      </c>
      <c r="BN429">
        <f t="shared" si="350"/>
        <v>-90.807284433779685</v>
      </c>
      <c r="BQ429" s="66">
        <f t="shared" si="363"/>
        <v>22.557517473057441</v>
      </c>
    </row>
    <row r="430" spans="1:69" x14ac:dyDescent="0.2">
      <c r="A430">
        <f t="shared" si="371"/>
        <v>1080000</v>
      </c>
      <c r="B430">
        <f t="shared" si="351"/>
        <v>1080</v>
      </c>
      <c r="C430">
        <f t="shared" si="320"/>
        <v>67.187259526890529</v>
      </c>
      <c r="D430">
        <f t="shared" si="321"/>
        <v>1.555912003013195</v>
      </c>
      <c r="F430">
        <f t="shared" si="322"/>
        <v>4.3650232045336481E-6</v>
      </c>
      <c r="G430">
        <f t="shared" si="323"/>
        <v>8.5977078310279121E-4</v>
      </c>
      <c r="H430">
        <f t="shared" si="324"/>
        <v>-3.1407328792168974</v>
      </c>
      <c r="J430">
        <f t="shared" si="325"/>
        <v>15</v>
      </c>
      <c r="M430">
        <f t="shared" si="326"/>
        <v>3.1236103314350142E-3</v>
      </c>
      <c r="N430">
        <f t="shared" si="327"/>
        <v>-1.5707963250000001</v>
      </c>
      <c r="O430">
        <f t="shared" si="328"/>
        <v>320.02178264530062</v>
      </c>
      <c r="P430">
        <f t="shared" si="329"/>
        <v>1.5676715344163161</v>
      </c>
      <c r="Q430">
        <f t="shared" si="330"/>
        <v>443.38792138429056</v>
      </c>
      <c r="R430">
        <f t="shared" si="331"/>
        <v>1.5685409634898799</v>
      </c>
      <c r="S430">
        <f t="shared" si="332"/>
        <v>2.4801407105310595E-2</v>
      </c>
      <c r="T430">
        <f t="shared" si="333"/>
        <v>-1.5459923763874677</v>
      </c>
      <c r="U430">
        <f t="shared" si="334"/>
        <v>0.99262829737229286</v>
      </c>
      <c r="V430">
        <f t="shared" si="335"/>
        <v>-0.12149713967068529</v>
      </c>
      <c r="X430">
        <f t="shared" si="352"/>
        <v>-26.375040707854286</v>
      </c>
      <c r="Y430">
        <f t="shared" si="336"/>
        <v>-96.6519193645359</v>
      </c>
      <c r="Z430">
        <f t="shared" si="353"/>
        <v>83.3480806354641</v>
      </c>
      <c r="AC430">
        <v>1</v>
      </c>
      <c r="AD430">
        <f t="shared" si="337"/>
        <v>320.02022024784003</v>
      </c>
      <c r="AE430">
        <f t="shared" si="338"/>
        <v>-2.1716060510491102E-3</v>
      </c>
      <c r="AF430">
        <f t="shared" si="339"/>
        <v>1.7785686965004002E-2</v>
      </c>
      <c r="AG430">
        <f t="shared" si="367"/>
        <v>17722.065985015237</v>
      </c>
      <c r="AH430">
        <f t="shared" si="368"/>
        <v>-2220.0630095336787</v>
      </c>
      <c r="AJ430">
        <f t="shared" si="340"/>
        <v>18000</v>
      </c>
      <c r="AK430">
        <f t="shared" si="341"/>
        <v>725542.02605808002</v>
      </c>
      <c r="AL430">
        <v>1</v>
      </c>
      <c r="AM430">
        <f t="shared" si="342"/>
        <v>443.38679370216005</v>
      </c>
      <c r="AN430">
        <f t="shared" si="369"/>
        <v>1636.4468725365748</v>
      </c>
      <c r="AO430">
        <f t="shared" si="370"/>
        <v>-36.905819839224741</v>
      </c>
      <c r="AQ430">
        <f t="shared" si="343"/>
        <v>2.1433465913608986E-3</v>
      </c>
      <c r="AR430">
        <f t="shared" si="344"/>
        <v>-4.6296286373395414</v>
      </c>
      <c r="AT430">
        <f t="shared" si="365"/>
        <v>-10240.082755914471</v>
      </c>
      <c r="AU430">
        <f t="shared" si="366"/>
        <v>-82051.342561531623</v>
      </c>
      <c r="AV430">
        <f t="shared" si="354"/>
        <v>-1.6949552959142755</v>
      </c>
      <c r="AW430">
        <f t="shared" si="355"/>
        <v>41282.281500843448</v>
      </c>
      <c r="AX430">
        <f t="shared" si="356"/>
        <v>-13108.02867864395</v>
      </c>
      <c r="AY430">
        <f t="shared" si="364"/>
        <v>-0.3074534213775878</v>
      </c>
      <c r="BA430">
        <f t="shared" si="345"/>
        <v>1.9090612899362795</v>
      </c>
      <c r="BB430">
        <f t="shared" si="357"/>
        <v>5.6163974306689104</v>
      </c>
      <c r="BC430">
        <f t="shared" si="358"/>
        <v>-1.3875018745366878</v>
      </c>
      <c r="BD430">
        <f t="shared" si="346"/>
        <v>-259.49800156828218</v>
      </c>
      <c r="BF430">
        <f t="shared" si="347"/>
        <v>-41.516307709044007</v>
      </c>
      <c r="BG430">
        <f t="shared" si="348"/>
        <v>-170.30154916273762</v>
      </c>
      <c r="BH430">
        <f t="shared" si="359"/>
        <v>9.698450837262385</v>
      </c>
      <c r="BI430">
        <f t="shared" si="360"/>
        <v>9.698450837262385</v>
      </c>
      <c r="BJ430">
        <f t="shared" si="349"/>
        <v>0</v>
      </c>
      <c r="BK430">
        <f t="shared" si="361"/>
        <v>0</v>
      </c>
      <c r="BM430">
        <f t="shared" si="362"/>
        <v>-47.132705139712918</v>
      </c>
      <c r="BN430">
        <f t="shared" si="350"/>
        <v>-90.803547594455452</v>
      </c>
      <c r="BQ430" s="66">
        <f t="shared" si="363"/>
        <v>22.51835823095405</v>
      </c>
    </row>
    <row r="431" spans="1:69" x14ac:dyDescent="0.2">
      <c r="A431">
        <f t="shared" si="371"/>
        <v>1085000</v>
      </c>
      <c r="B431">
        <f t="shared" si="351"/>
        <v>1085</v>
      </c>
      <c r="C431">
        <f t="shared" si="320"/>
        <v>67.498242906703211</v>
      </c>
      <c r="D431">
        <f t="shared" si="321"/>
        <v>1.5559805843067538</v>
      </c>
      <c r="F431">
        <f t="shared" si="322"/>
        <v>4.3248851128570246E-6</v>
      </c>
      <c r="G431">
        <f t="shared" si="323"/>
        <v>8.5580867305885507E-4</v>
      </c>
      <c r="H431">
        <f t="shared" si="324"/>
        <v>-3.1407368413269414</v>
      </c>
      <c r="J431">
        <f t="shared" si="325"/>
        <v>15</v>
      </c>
      <c r="M431">
        <f t="shared" si="326"/>
        <v>3.109215813778632E-3</v>
      </c>
      <c r="N431">
        <f t="shared" si="327"/>
        <v>-1.5707963250000001</v>
      </c>
      <c r="O431">
        <f t="shared" si="328"/>
        <v>321.50335053908725</v>
      </c>
      <c r="P431">
        <f t="shared" si="329"/>
        <v>1.5676859342881042</v>
      </c>
      <c r="Q431">
        <f t="shared" si="330"/>
        <v>445.44063282512178</v>
      </c>
      <c r="R431">
        <f t="shared" si="331"/>
        <v>1.5685513568341638</v>
      </c>
      <c r="S431">
        <f t="shared" si="332"/>
        <v>2.4687184724001818E-2</v>
      </c>
      <c r="T431">
        <f t="shared" si="333"/>
        <v>-1.5461066337529548</v>
      </c>
      <c r="U431">
        <f t="shared" si="334"/>
        <v>0.99256064442051761</v>
      </c>
      <c r="V431">
        <f t="shared" si="335"/>
        <v>-0.12205406936350821</v>
      </c>
      <c r="X431">
        <f t="shared" si="352"/>
        <v>-26.415737569402044</v>
      </c>
      <c r="Y431">
        <f t="shared" si="336"/>
        <v>-96.685252597146501</v>
      </c>
      <c r="Z431">
        <f t="shared" si="353"/>
        <v>83.314747402853499</v>
      </c>
      <c r="AC431">
        <v>1</v>
      </c>
      <c r="AD431">
        <f t="shared" si="337"/>
        <v>321.50179534158008</v>
      </c>
      <c r="AE431">
        <f t="shared" si="338"/>
        <v>-2.1917600595389992E-3</v>
      </c>
      <c r="AF431">
        <f t="shared" si="339"/>
        <v>1.7868028108360502E-2</v>
      </c>
      <c r="AG431">
        <f t="shared" si="367"/>
        <v>17719.650359304847</v>
      </c>
      <c r="AH431">
        <f t="shared" si="368"/>
        <v>-2229.5253670370207</v>
      </c>
      <c r="AJ431">
        <f t="shared" si="340"/>
        <v>18000</v>
      </c>
      <c r="AK431">
        <f t="shared" si="341"/>
        <v>728901.01691945991</v>
      </c>
      <c r="AL431">
        <v>1</v>
      </c>
      <c r="AM431">
        <f t="shared" si="342"/>
        <v>445.43951033966994</v>
      </c>
      <c r="AN431">
        <f t="shared" si="369"/>
        <v>1636.4461071543999</v>
      </c>
      <c r="AO431">
        <f t="shared" si="370"/>
        <v>-36.735748655002716</v>
      </c>
      <c r="AQ431">
        <f t="shared" si="343"/>
        <v>2.1236377660095213E-3</v>
      </c>
      <c r="AR431">
        <f t="shared" si="344"/>
        <v>-4.6082939522406612</v>
      </c>
      <c r="AT431">
        <f t="shared" si="365"/>
        <v>-10236.678146580338</v>
      </c>
      <c r="AU431">
        <f t="shared" si="366"/>
        <v>-81662.092290873305</v>
      </c>
      <c r="AV431">
        <f t="shared" si="354"/>
        <v>-1.6954999592047306</v>
      </c>
      <c r="AW431">
        <f t="shared" si="355"/>
        <v>41278.396809516184</v>
      </c>
      <c r="AX431">
        <f t="shared" si="356"/>
        <v>-13091.860357395148</v>
      </c>
      <c r="AY431">
        <f t="shared" si="364"/>
        <v>-0.30712471594527391</v>
      </c>
      <c r="BA431">
        <f t="shared" si="345"/>
        <v>1.9005112318611903</v>
      </c>
      <c r="BB431">
        <f t="shared" si="357"/>
        <v>5.5774088118097858</v>
      </c>
      <c r="BC431">
        <f t="shared" si="358"/>
        <v>-1.3883752432594567</v>
      </c>
      <c r="BD431">
        <f t="shared" si="346"/>
        <v>-259.54804191011277</v>
      </c>
      <c r="BF431">
        <f t="shared" si="347"/>
        <v>-41.59542515058294</v>
      </c>
      <c r="BG431">
        <f t="shared" si="348"/>
        <v>-170.34788709807299</v>
      </c>
      <c r="BH431">
        <f t="shared" si="359"/>
        <v>9.652112901927012</v>
      </c>
      <c r="BI431">
        <f t="shared" si="360"/>
        <v>9.652112901927012</v>
      </c>
      <c r="BJ431">
        <f t="shared" si="349"/>
        <v>0</v>
      </c>
      <c r="BK431">
        <f t="shared" si="361"/>
        <v>0</v>
      </c>
      <c r="BM431">
        <f t="shared" si="362"/>
        <v>-47.17283396239273</v>
      </c>
      <c r="BN431">
        <f t="shared" si="350"/>
        <v>-90.79984518796023</v>
      </c>
      <c r="BQ431" s="66">
        <f t="shared" si="363"/>
        <v>22.479369612094921</v>
      </c>
    </row>
    <row r="432" spans="1:69" x14ac:dyDescent="0.2">
      <c r="A432">
        <f t="shared" si="371"/>
        <v>1090000</v>
      </c>
      <c r="B432">
        <f t="shared" si="351"/>
        <v>1090</v>
      </c>
      <c r="C432">
        <f t="shared" si="320"/>
        <v>67.809226601074755</v>
      </c>
      <c r="D432">
        <f t="shared" si="321"/>
        <v>1.5560485365516019</v>
      </c>
      <c r="F432">
        <f t="shared" si="322"/>
        <v>4.2852981153018947E-6</v>
      </c>
      <c r="G432">
        <f t="shared" si="323"/>
        <v>8.5188291309529261E-4</v>
      </c>
      <c r="H432">
        <f t="shared" si="324"/>
        <v>-3.1407407670869048</v>
      </c>
      <c r="J432">
        <f t="shared" si="325"/>
        <v>15</v>
      </c>
      <c r="M432">
        <f t="shared" si="326"/>
        <v>3.0949533559172615E-3</v>
      </c>
      <c r="N432">
        <f t="shared" si="327"/>
        <v>-1.5707963250000001</v>
      </c>
      <c r="O432">
        <f t="shared" si="328"/>
        <v>322.98491849892798</v>
      </c>
      <c r="P432">
        <f t="shared" si="329"/>
        <v>1.567700202052249</v>
      </c>
      <c r="Q432">
        <f t="shared" si="330"/>
        <v>447.49334431362882</v>
      </c>
      <c r="R432">
        <f t="shared" si="331"/>
        <v>1.5685616548271437</v>
      </c>
      <c r="S432">
        <f t="shared" si="332"/>
        <v>2.4574009300839233E-2</v>
      </c>
      <c r="T432">
        <f t="shared" si="333"/>
        <v>-1.5462198435216641</v>
      </c>
      <c r="U432">
        <f t="shared" si="334"/>
        <v>0.99249269291079367</v>
      </c>
      <c r="V432">
        <f t="shared" si="335"/>
        <v>-0.1226109229733108</v>
      </c>
      <c r="X432">
        <f t="shared" si="352"/>
        <v>-26.456252828448548</v>
      </c>
      <c r="Y432">
        <f t="shared" si="336"/>
        <v>-96.718568439214835</v>
      </c>
      <c r="Z432">
        <f t="shared" si="353"/>
        <v>83.281431560785165</v>
      </c>
      <c r="AC432">
        <v>1</v>
      </c>
      <c r="AD432">
        <f t="shared" si="337"/>
        <v>322.98337043532001</v>
      </c>
      <c r="AE432">
        <f t="shared" si="338"/>
        <v>-2.2120071581373871E-3</v>
      </c>
      <c r="AF432">
        <f t="shared" si="339"/>
        <v>1.7950369251717002E-2</v>
      </c>
      <c r="AG432">
        <f t="shared" si="367"/>
        <v>17717.224238977757</v>
      </c>
      <c r="AH432">
        <f t="shared" si="368"/>
        <v>-2238.9860774089461</v>
      </c>
      <c r="AJ432">
        <f t="shared" si="340"/>
        <v>18000</v>
      </c>
      <c r="AK432">
        <f t="shared" si="341"/>
        <v>732260.00778083992</v>
      </c>
      <c r="AL432">
        <v>1</v>
      </c>
      <c r="AM432">
        <f t="shared" si="342"/>
        <v>447.49222697718</v>
      </c>
      <c r="AN432">
        <f t="shared" si="369"/>
        <v>1636.4453522807605</v>
      </c>
      <c r="AO432">
        <f t="shared" si="370"/>
        <v>-36.567237733391302</v>
      </c>
      <c r="AQ432">
        <f t="shared" si="343"/>
        <v>2.1041995404007365E-3</v>
      </c>
      <c r="AR432">
        <f t="shared" si="344"/>
        <v>-4.5871549980736051</v>
      </c>
      <c r="AT432">
        <f t="shared" si="365"/>
        <v>-10233.295600502828</v>
      </c>
      <c r="AU432">
        <f t="shared" si="366"/>
        <v>-81276.364993292678</v>
      </c>
      <c r="AV432">
        <f t="shared" si="354"/>
        <v>-1.6960446589466989</v>
      </c>
      <c r="AW432">
        <f t="shared" si="355"/>
        <v>41274.467368092271</v>
      </c>
      <c r="AX432">
        <f t="shared" si="356"/>
        <v>-13076.031751982066</v>
      </c>
      <c r="AY432">
        <f t="shared" si="364"/>
        <v>-0.30680367215329624</v>
      </c>
      <c r="BA432">
        <f t="shared" si="345"/>
        <v>1.8920363206764459</v>
      </c>
      <c r="BB432">
        <f t="shared" si="357"/>
        <v>5.5385893825200894</v>
      </c>
      <c r="BC432">
        <f t="shared" si="358"/>
        <v>-1.3892409867934026</v>
      </c>
      <c r="BD432">
        <f t="shared" si="346"/>
        <v>-259.59764536080525</v>
      </c>
      <c r="BF432">
        <f t="shared" si="347"/>
        <v>-41.67418881785408</v>
      </c>
      <c r="BG432">
        <f t="shared" si="348"/>
        <v>-170.39382210140036</v>
      </c>
      <c r="BH432">
        <f t="shared" si="359"/>
        <v>9.6061778985996398</v>
      </c>
      <c r="BI432">
        <f t="shared" si="360"/>
        <v>9.6061778985996398</v>
      </c>
      <c r="BJ432">
        <f t="shared" si="349"/>
        <v>0</v>
      </c>
      <c r="BK432">
        <f t="shared" si="361"/>
        <v>0</v>
      </c>
      <c r="BM432">
        <f t="shared" si="362"/>
        <v>-47.21277820037416</v>
      </c>
      <c r="BN432">
        <f t="shared" si="350"/>
        <v>-90.796176740595087</v>
      </c>
      <c r="BQ432" s="66">
        <f t="shared" si="363"/>
        <v>22.440550182805225</v>
      </c>
    </row>
    <row r="433" spans="1:69" x14ac:dyDescent="0.2">
      <c r="A433">
        <f t="shared" si="371"/>
        <v>1095000</v>
      </c>
      <c r="B433">
        <f t="shared" si="351"/>
        <v>1095</v>
      </c>
      <c r="C433">
        <f t="shared" si="320"/>
        <v>68.12021060569711</v>
      </c>
      <c r="D433">
        <f t="shared" si="321"/>
        <v>1.5561158683623519</v>
      </c>
      <c r="F433">
        <f t="shared" si="322"/>
        <v>4.2462521691724711E-6</v>
      </c>
      <c r="G433">
        <f t="shared" si="323"/>
        <v>8.4799300525769034E-4</v>
      </c>
      <c r="H433">
        <f t="shared" si="324"/>
        <v>-3.1407446569947424</v>
      </c>
      <c r="J433">
        <f t="shared" si="325"/>
        <v>15</v>
      </c>
      <c r="M433">
        <f t="shared" si="326"/>
        <v>3.0808211488126164E-3</v>
      </c>
      <c r="N433">
        <f t="shared" si="327"/>
        <v>-1.5707963250000001</v>
      </c>
      <c r="O433">
        <f t="shared" si="328"/>
        <v>324.46648652391809</v>
      </c>
      <c r="P433">
        <f t="shared" si="329"/>
        <v>1.5677143395184214</v>
      </c>
      <c r="Q433">
        <f t="shared" si="330"/>
        <v>449.54605584915856</v>
      </c>
      <c r="R433">
        <f t="shared" si="331"/>
        <v>1.5685718587749933</v>
      </c>
      <c r="S433">
        <f t="shared" si="332"/>
        <v>2.446186651121578E-2</v>
      </c>
      <c r="T433">
        <f t="shared" si="333"/>
        <v>-1.5463320200327075</v>
      </c>
      <c r="U433">
        <f t="shared" si="334"/>
        <v>0.99242444303084743</v>
      </c>
      <c r="V433">
        <f t="shared" si="335"/>
        <v>-0.12316770017040882</v>
      </c>
      <c r="X433">
        <f t="shared" si="352"/>
        <v>-26.496588168613421</v>
      </c>
      <c r="Y433">
        <f t="shared" si="336"/>
        <v>-96.751867049847021</v>
      </c>
      <c r="Z433">
        <f t="shared" si="353"/>
        <v>83.248132950152979</v>
      </c>
      <c r="AC433">
        <v>1</v>
      </c>
      <c r="AD433">
        <f t="shared" si="337"/>
        <v>324.46494552906</v>
      </c>
      <c r="AE433">
        <f t="shared" si="338"/>
        <v>-2.232347346844272E-3</v>
      </c>
      <c r="AF433">
        <f t="shared" si="339"/>
        <v>1.8032710395073499E-2</v>
      </c>
      <c r="AG433">
        <f t="shared" si="367"/>
        <v>17714.787632925178</v>
      </c>
      <c r="AH433">
        <f t="shared" si="368"/>
        <v>-2248.4450913905439</v>
      </c>
      <c r="AJ433">
        <f t="shared" si="340"/>
        <v>18000</v>
      </c>
      <c r="AK433">
        <f t="shared" si="341"/>
        <v>735618.99864221993</v>
      </c>
      <c r="AL433">
        <v>1</v>
      </c>
      <c r="AM433">
        <f t="shared" si="342"/>
        <v>449.54494361469</v>
      </c>
      <c r="AN433">
        <f t="shared" si="369"/>
        <v>1636.4446077241607</v>
      </c>
      <c r="AO433">
        <f t="shared" si="370"/>
        <v>-36.400265701356048</v>
      </c>
      <c r="AQ433">
        <f t="shared" si="343"/>
        <v>2.0850269833767054E-3</v>
      </c>
      <c r="AR433">
        <f t="shared" si="344"/>
        <v>-4.5662090935949848</v>
      </c>
      <c r="AT433">
        <f t="shared" si="365"/>
        <v>-10229.934612537072</v>
      </c>
      <c r="AU433">
        <f t="shared" si="366"/>
        <v>-80894.112449253109</v>
      </c>
      <c r="AV433">
        <f t="shared" si="354"/>
        <v>-1.69658939326895</v>
      </c>
      <c r="AW433">
        <f t="shared" si="355"/>
        <v>41270.493582385716</v>
      </c>
      <c r="AX433">
        <f t="shared" si="356"/>
        <v>-13060.53804635807</v>
      </c>
      <c r="AY433">
        <f t="shared" si="364"/>
        <v>-0.30649018703095088</v>
      </c>
      <c r="BA433">
        <f t="shared" si="345"/>
        <v>1.883635584703935</v>
      </c>
      <c r="BB433">
        <f t="shared" si="357"/>
        <v>5.4999377264583069</v>
      </c>
      <c r="BC433">
        <f t="shared" si="358"/>
        <v>-1.3900992062379991</v>
      </c>
      <c r="BD433">
        <f t="shared" si="346"/>
        <v>-259.64681771293289</v>
      </c>
      <c r="BF433">
        <f t="shared" si="347"/>
        <v>-41.752601817911469</v>
      </c>
      <c r="BG433">
        <f t="shared" si="348"/>
        <v>-170.43935950024266</v>
      </c>
      <c r="BH433">
        <f t="shared" si="359"/>
        <v>9.5606404997573406</v>
      </c>
      <c r="BI433">
        <f t="shared" si="360"/>
        <v>9.5606404997573406</v>
      </c>
      <c r="BJ433">
        <f t="shared" si="349"/>
        <v>0</v>
      </c>
      <c r="BK433">
        <f t="shared" si="361"/>
        <v>0</v>
      </c>
      <c r="BM433">
        <f t="shared" si="362"/>
        <v>-47.252539544369782</v>
      </c>
      <c r="BN433">
        <f t="shared" si="350"/>
        <v>-90.792541787309787</v>
      </c>
      <c r="BQ433" s="66">
        <f t="shared" si="363"/>
        <v>22.401898526743445</v>
      </c>
    </row>
    <row r="434" spans="1:69" x14ac:dyDescent="0.2">
      <c r="A434">
        <f>A433+5000</f>
        <v>1100000</v>
      </c>
      <c r="B434">
        <f t="shared" si="351"/>
        <v>1100</v>
      </c>
      <c r="C434">
        <f t="shared" si="320"/>
        <v>68.431194916340459</v>
      </c>
      <c r="D434">
        <f t="shared" si="321"/>
        <v>1.5561825881970432</v>
      </c>
      <c r="F434">
        <f t="shared" si="322"/>
        <v>4.2077374594979131E-6</v>
      </c>
      <c r="G434">
        <f t="shared" si="323"/>
        <v>8.4413846064553346E-4</v>
      </c>
      <c r="H434">
        <f t="shared" si="324"/>
        <v>-3.1407485115393547</v>
      </c>
      <c r="J434">
        <f t="shared" si="325"/>
        <v>15</v>
      </c>
      <c r="M434">
        <f t="shared" si="326"/>
        <v>3.0668174163180138E-3</v>
      </c>
      <c r="N434">
        <f t="shared" si="327"/>
        <v>-1.5707963250000001</v>
      </c>
      <c r="O434">
        <f t="shared" si="328"/>
        <v>325.94805461316901</v>
      </c>
      <c r="P434">
        <f t="shared" si="329"/>
        <v>1.567728348463389</v>
      </c>
      <c r="Q434">
        <f t="shared" si="330"/>
        <v>451.5987674310698</v>
      </c>
      <c r="R434">
        <f t="shared" si="331"/>
        <v>1.5685819699601373</v>
      </c>
      <c r="S434">
        <f t="shared" si="332"/>
        <v>2.4350742290581946E-2</v>
      </c>
      <c r="T434">
        <f t="shared" si="333"/>
        <v>-1.546443177364746</v>
      </c>
      <c r="U434">
        <f t="shared" si="334"/>
        <v>0.99235589496915966</v>
      </c>
      <c r="V434">
        <f t="shared" si="335"/>
        <v>-0.12372440062539786</v>
      </c>
      <c r="X434">
        <f t="shared" si="352"/>
        <v>-26.53674525051904</v>
      </c>
      <c r="Y434">
        <f t="shared" si="336"/>
        <v>-96.785148584940558</v>
      </c>
      <c r="Z434">
        <f t="shared" si="353"/>
        <v>83.214851415059442</v>
      </c>
      <c r="AC434">
        <v>1</v>
      </c>
      <c r="AD434">
        <f t="shared" si="337"/>
        <v>325.94652062280005</v>
      </c>
      <c r="AE434">
        <f t="shared" si="338"/>
        <v>-2.2527806256596563E-3</v>
      </c>
      <c r="AF434">
        <f t="shared" si="339"/>
        <v>1.8115051538430002E-2</v>
      </c>
      <c r="AG434">
        <f t="shared" si="367"/>
        <v>17712.340550073019</v>
      </c>
      <c r="AH434">
        <f t="shared" si="368"/>
        <v>-2257.9023603393675</v>
      </c>
      <c r="AJ434">
        <f t="shared" si="340"/>
        <v>18000</v>
      </c>
      <c r="AK434">
        <f t="shared" si="341"/>
        <v>738977.98950359994</v>
      </c>
      <c r="AL434">
        <v>1</v>
      </c>
      <c r="AM434">
        <f t="shared" si="342"/>
        <v>451.5976602522</v>
      </c>
      <c r="AN434">
        <f t="shared" si="369"/>
        <v>1636.4438732974463</v>
      </c>
      <c r="AO434">
        <f t="shared" si="370"/>
        <v>-36.234811574453538</v>
      </c>
      <c r="AQ434">
        <f t="shared" si="343"/>
        <v>2.0661152755960172E-3</v>
      </c>
      <c r="AR434">
        <f t="shared" si="344"/>
        <v>-4.5454536063112387</v>
      </c>
      <c r="AT434">
        <f t="shared" si="365"/>
        <v>-10226.59468912617</v>
      </c>
      <c r="AU434">
        <f t="shared" si="366"/>
        <v>-80515.287316099697</v>
      </c>
      <c r="AV434">
        <f t="shared" si="354"/>
        <v>-1.6971341603285612</v>
      </c>
      <c r="AW434">
        <f t="shared" si="355"/>
        <v>41266.475849539449</v>
      </c>
      <c r="AX434">
        <f t="shared" si="356"/>
        <v>-13045.374511437622</v>
      </c>
      <c r="AY434">
        <f t="shared" si="364"/>
        <v>-0.30618415940071503</v>
      </c>
      <c r="BA434">
        <f t="shared" si="345"/>
        <v>1.8753080686815484</v>
      </c>
      <c r="BB434">
        <f t="shared" si="357"/>
        <v>5.4614524443507069</v>
      </c>
      <c r="BC434">
        <f t="shared" si="358"/>
        <v>-1.3909500009278462</v>
      </c>
      <c r="BD434">
        <f t="shared" si="346"/>
        <v>-259.69556465794898</v>
      </c>
      <c r="BF434">
        <f t="shared" si="347"/>
        <v>-41.830667217612884</v>
      </c>
      <c r="BG434">
        <f t="shared" si="348"/>
        <v>-170.48450452945525</v>
      </c>
      <c r="BH434">
        <f t="shared" si="359"/>
        <v>9.5154954705447494</v>
      </c>
      <c r="BI434">
        <f t="shared" si="360"/>
        <v>9.5154954705447494</v>
      </c>
      <c r="BJ434">
        <f t="shared" si="349"/>
        <v>0</v>
      </c>
      <c r="BK434">
        <f t="shared" si="361"/>
        <v>0</v>
      </c>
      <c r="BM434">
        <f t="shared" si="362"/>
        <v>-47.292119661963589</v>
      </c>
      <c r="BN434">
        <f t="shared" si="350"/>
        <v>-90.788939871506273</v>
      </c>
      <c r="BQ434" s="66">
        <f t="shared" si="363"/>
        <v>22.363413244635844</v>
      </c>
    </row>
    <row r="435" spans="1:69" x14ac:dyDescent="0.2">
      <c r="A435">
        <f t="shared" ref="A435:A472" si="372">A434+5000</f>
        <v>1105000</v>
      </c>
      <c r="B435">
        <f t="shared" si="351"/>
        <v>1105</v>
      </c>
      <c r="C435">
        <f t="shared" si="320"/>
        <v>68.742179528851565</v>
      </c>
      <c r="D435">
        <f t="shared" si="321"/>
        <v>1.556248704360683</v>
      </c>
      <c r="F435">
        <f t="shared" si="322"/>
        <v>4.1697443928637112E-6</v>
      </c>
      <c r="G435">
        <f t="shared" si="323"/>
        <v>8.4031879920736321E-4</v>
      </c>
      <c r="H435">
        <f t="shared" si="324"/>
        <v>-3.140752331200793</v>
      </c>
      <c r="J435">
        <f t="shared" si="325"/>
        <v>15</v>
      </c>
      <c r="M435">
        <f t="shared" si="326"/>
        <v>3.0529404144342218E-3</v>
      </c>
      <c r="N435">
        <f t="shared" si="327"/>
        <v>-1.5707963250000001</v>
      </c>
      <c r="O435">
        <f t="shared" si="328"/>
        <v>327.42962276580857</v>
      </c>
      <c r="P435">
        <f t="shared" si="329"/>
        <v>1.5677422306317623</v>
      </c>
      <c r="Q435">
        <f t="shared" si="330"/>
        <v>453.65147905873283</v>
      </c>
      <c r="R435">
        <f t="shared" si="331"/>
        <v>1.5685919896417901</v>
      </c>
      <c r="S435">
        <f t="shared" si="332"/>
        <v>2.4240622828572669E-2</v>
      </c>
      <c r="T435">
        <f t="shared" si="333"/>
        <v>-1.5465533293418752</v>
      </c>
      <c r="U435">
        <f t="shared" si="334"/>
        <v>0.99228704891496489</v>
      </c>
      <c r="V435">
        <f t="shared" si="335"/>
        <v>-0.12428102400915467</v>
      </c>
      <c r="X435">
        <f t="shared" si="352"/>
        <v>-26.576725712206873</v>
      </c>
      <c r="Y435">
        <f t="shared" si="336"/>
        <v>-96.818413197257044</v>
      </c>
      <c r="Z435">
        <f t="shared" si="353"/>
        <v>83.181586802742956</v>
      </c>
      <c r="AC435">
        <v>1</v>
      </c>
      <c r="AD435">
        <f t="shared" si="337"/>
        <v>327.42809571654004</v>
      </c>
      <c r="AE435">
        <f t="shared" si="338"/>
        <v>-2.2733069945835389E-3</v>
      </c>
      <c r="AF435">
        <f t="shared" si="339"/>
        <v>1.8197392681786499E-2</v>
      </c>
      <c r="AG435">
        <f t="shared" si="367"/>
        <v>17709.882999381836</v>
      </c>
      <c r="AH435">
        <f t="shared" si="368"/>
        <v>-2267.3578362161379</v>
      </c>
      <c r="AJ435">
        <f t="shared" si="340"/>
        <v>18000</v>
      </c>
      <c r="AK435">
        <f t="shared" si="341"/>
        <v>742336.98036497994</v>
      </c>
      <c r="AL435">
        <v>1</v>
      </c>
      <c r="AM435">
        <f t="shared" si="342"/>
        <v>453.65037688971</v>
      </c>
      <c r="AN435">
        <f t="shared" si="369"/>
        <v>1636.4431488176879</v>
      </c>
      <c r="AO435">
        <f t="shared" si="370"/>
        <v>-36.070854748039956</v>
      </c>
      <c r="AQ435">
        <f t="shared" si="343"/>
        <v>2.0474597065048409E-3</v>
      </c>
      <c r="AR435">
        <f t="shared" si="344"/>
        <v>-4.5248859513756985</v>
      </c>
      <c r="AT435">
        <f t="shared" si="365"/>
        <v>-10223.275347987854</v>
      </c>
      <c r="AU435">
        <f t="shared" si="366"/>
        <v>-80139.84310822007</v>
      </c>
      <c r="AV435">
        <f t="shared" si="354"/>
        <v>-1.6976789583102845</v>
      </c>
      <c r="AW435">
        <f t="shared" si="355"/>
        <v>41262.414558262273</v>
      </c>
      <c r="AX435">
        <f t="shared" si="356"/>
        <v>-13030.536503129651</v>
      </c>
      <c r="AY435">
        <f t="shared" si="364"/>
        <v>-0.3058854898395868</v>
      </c>
      <c r="BA435">
        <f t="shared" si="345"/>
        <v>1.867052833423934</v>
      </c>
      <c r="BB435">
        <f t="shared" si="357"/>
        <v>5.4231321537305934</v>
      </c>
      <c r="BC435">
        <f t="shared" si="358"/>
        <v>-1.3917934684706976</v>
      </c>
      <c r="BD435">
        <f t="shared" si="346"/>
        <v>-259.74389178836589</v>
      </c>
      <c r="BF435">
        <f t="shared" si="347"/>
        <v>-41.90838804430058</v>
      </c>
      <c r="BG435">
        <f t="shared" si="348"/>
        <v>-170.5292623332135</v>
      </c>
      <c r="BH435">
        <f t="shared" si="359"/>
        <v>9.4707376667865049</v>
      </c>
      <c r="BI435">
        <f t="shared" si="360"/>
        <v>9.4707376667865049</v>
      </c>
      <c r="BJ435">
        <f t="shared" si="349"/>
        <v>0</v>
      </c>
      <c r="BK435">
        <f t="shared" si="361"/>
        <v>0</v>
      </c>
      <c r="BM435">
        <f t="shared" si="362"/>
        <v>-47.331520198031178</v>
      </c>
      <c r="BN435">
        <f t="shared" si="350"/>
        <v>-90.785370544847623</v>
      </c>
      <c r="BQ435" s="66">
        <f t="shared" si="363"/>
        <v>22.32509295401573</v>
      </c>
    </row>
    <row r="436" spans="1:69" x14ac:dyDescent="0.2">
      <c r="A436">
        <f t="shared" si="372"/>
        <v>1110000</v>
      </c>
      <c r="B436">
        <f t="shared" si="351"/>
        <v>1110</v>
      </c>
      <c r="C436">
        <f t="shared" si="320"/>
        <v>69.053164439151999</v>
      </c>
      <c r="D436">
        <f t="shared" si="321"/>
        <v>1.5563142250086917</v>
      </c>
      <c r="F436">
        <f t="shared" si="322"/>
        <v>4.1322635914371655E-6</v>
      </c>
      <c r="G436">
        <f t="shared" si="323"/>
        <v>8.3653354954146776E-4</v>
      </c>
      <c r="H436">
        <f t="shared" si="324"/>
        <v>-3.1407561164504587</v>
      </c>
      <c r="J436">
        <f t="shared" si="325"/>
        <v>15</v>
      </c>
      <c r="M436">
        <f t="shared" si="326"/>
        <v>3.0391884305854193E-3</v>
      </c>
      <c r="N436">
        <f t="shared" si="327"/>
        <v>-1.5707963250000001</v>
      </c>
      <c r="O436">
        <f t="shared" si="328"/>
        <v>328.91119098098011</v>
      </c>
      <c r="P436">
        <f t="shared" si="329"/>
        <v>1.5677559877367169</v>
      </c>
      <c r="Q436">
        <f t="shared" si="330"/>
        <v>455.70419073152954</v>
      </c>
      <c r="R436">
        <f t="shared" si="331"/>
        <v>1.5686019190564775</v>
      </c>
      <c r="S436">
        <f t="shared" si="332"/>
        <v>2.4131494563292555E-2</v>
      </c>
      <c r="T436">
        <f t="shared" si="333"/>
        <v>-1.5466624895393513</v>
      </c>
      <c r="U436">
        <f t="shared" si="334"/>
        <v>0.99221790505824947</v>
      </c>
      <c r="V436">
        <f t="shared" si="335"/>
        <v>-0.12483756999283811</v>
      </c>
      <c r="X436">
        <f t="shared" si="352"/>
        <v>-26.616531169544491</v>
      </c>
      <c r="Y436">
        <f t="shared" si="336"/>
        <v>-96.851661036492814</v>
      </c>
      <c r="Z436">
        <f t="shared" si="353"/>
        <v>83.148338963507186</v>
      </c>
      <c r="AC436">
        <v>1</v>
      </c>
      <c r="AD436">
        <f t="shared" si="337"/>
        <v>328.90967081028003</v>
      </c>
      <c r="AE436">
        <f t="shared" si="338"/>
        <v>-2.2939264536159195E-3</v>
      </c>
      <c r="AF436">
        <f t="shared" si="339"/>
        <v>1.8279733825143002E-2</v>
      </c>
      <c r="AG436">
        <f t="shared" si="367"/>
        <v>17707.414989846722</v>
      </c>
      <c r="AH436">
        <f t="shared" si="368"/>
        <v>-2276.8114715717902</v>
      </c>
      <c r="AJ436">
        <f t="shared" si="340"/>
        <v>18000</v>
      </c>
      <c r="AK436">
        <f t="shared" si="341"/>
        <v>745695.97122635995</v>
      </c>
      <c r="AL436">
        <v>1</v>
      </c>
      <c r="AM436">
        <f t="shared" si="342"/>
        <v>455.70309352722001</v>
      </c>
      <c r="AN436">
        <f t="shared" si="369"/>
        <v>1636.4424341060669</v>
      </c>
      <c r="AO436">
        <f t="shared" si="370"/>
        <v>-35.908374988717313</v>
      </c>
      <c r="AQ436">
        <f t="shared" si="343"/>
        <v>2.0290556714033618E-3</v>
      </c>
      <c r="AR436">
        <f t="shared" si="344"/>
        <v>-4.5045035905154629</v>
      </c>
      <c r="AT436">
        <f t="shared" si="365"/>
        <v>-10219.976117810882</v>
      </c>
      <c r="AU436">
        <f t="shared" si="366"/>
        <v>-79767.734177740989</v>
      </c>
      <c r="AV436">
        <f t="shared" si="354"/>
        <v>-1.6982237854259303</v>
      </c>
      <c r="AW436">
        <f t="shared" si="355"/>
        <v>41258.310089058061</v>
      </c>
      <c r="AX436">
        <f t="shared" si="356"/>
        <v>-13016.01946042409</v>
      </c>
      <c r="AY436">
        <f t="shared" si="364"/>
        <v>-0.30559408064141491</v>
      </c>
      <c r="BA436">
        <f t="shared" si="345"/>
        <v>1.8588689554914652</v>
      </c>
      <c r="BB436">
        <f t="shared" si="357"/>
        <v>5.3849754886821897</v>
      </c>
      <c r="BC436">
        <f t="shared" si="358"/>
        <v>-1.3926297047845155</v>
      </c>
      <c r="BD436">
        <f t="shared" si="346"/>
        <v>-259.79180459987793</v>
      </c>
      <c r="BF436">
        <f t="shared" si="347"/>
        <v>-41.98576728646799</v>
      </c>
      <c r="BG436">
        <f t="shared" si="348"/>
        <v>-170.57363796694992</v>
      </c>
      <c r="BH436">
        <f t="shared" si="359"/>
        <v>9.4263620330500828</v>
      </c>
      <c r="BI436">
        <f t="shared" si="360"/>
        <v>9.4263620330500828</v>
      </c>
      <c r="BJ436">
        <f t="shared" si="349"/>
        <v>0</v>
      </c>
      <c r="BK436">
        <f t="shared" si="361"/>
        <v>0</v>
      </c>
      <c r="BM436">
        <f t="shared" si="362"/>
        <v>-47.370742775150177</v>
      </c>
      <c r="BN436">
        <f t="shared" si="350"/>
        <v>-90.781833367071968</v>
      </c>
      <c r="BQ436" s="66">
        <f t="shared" si="363"/>
        <v>22.286936288967325</v>
      </c>
    </row>
    <row r="437" spans="1:69" x14ac:dyDescent="0.2">
      <c r="A437">
        <f t="shared" si="372"/>
        <v>1115000</v>
      </c>
      <c r="B437">
        <f t="shared" si="351"/>
        <v>1115</v>
      </c>
      <c r="C437">
        <f t="shared" si="320"/>
        <v>69.364149643236473</v>
      </c>
      <c r="D437">
        <f t="shared" si="321"/>
        <v>1.5563791581502548</v>
      </c>
      <c r="F437">
        <f t="shared" si="322"/>
        <v>4.095285887179962E-6</v>
      </c>
      <c r="G437">
        <f t="shared" si="323"/>
        <v>8.3278224870193807E-4</v>
      </c>
      <c r="H437">
        <f t="shared" si="324"/>
        <v>-3.1407598677512985</v>
      </c>
      <c r="J437">
        <f t="shared" si="325"/>
        <v>15</v>
      </c>
      <c r="M437">
        <f t="shared" si="326"/>
        <v>3.0255597829146326E-3</v>
      </c>
      <c r="N437">
        <f t="shared" si="327"/>
        <v>-1.5707963250000001</v>
      </c>
      <c r="O437">
        <f t="shared" si="328"/>
        <v>330.39275925784244</v>
      </c>
      <c r="P437">
        <f t="shared" si="329"/>
        <v>1.5677696214606995</v>
      </c>
      <c r="Q437">
        <f t="shared" si="330"/>
        <v>457.7569024488526</v>
      </c>
      <c r="R437">
        <f t="shared" si="331"/>
        <v>1.5686117594185449</v>
      </c>
      <c r="S437">
        <f t="shared" si="332"/>
        <v>2.4023344175754559E-2</v>
      </c>
      <c r="T437">
        <f t="shared" si="333"/>
        <v>-1.5467706712891649</v>
      </c>
      <c r="U437">
        <f t="shared" si="334"/>
        <v>0.99214846358975073</v>
      </c>
      <c r="V437">
        <f t="shared" si="335"/>
        <v>-0.12539403824789033</v>
      </c>
      <c r="X437">
        <f t="shared" si="352"/>
        <v>-26.656163216623408</v>
      </c>
      <c r="Y437">
        <f t="shared" si="336"/>
        <v>-96.884892249348056</v>
      </c>
      <c r="Z437">
        <f t="shared" si="353"/>
        <v>83.115107750651944</v>
      </c>
      <c r="AC437">
        <v>1</v>
      </c>
      <c r="AD437">
        <f t="shared" si="337"/>
        <v>330.39124590402002</v>
      </c>
      <c r="AE437">
        <f t="shared" si="338"/>
        <v>-2.3146390027567985E-3</v>
      </c>
      <c r="AF437">
        <f t="shared" si="339"/>
        <v>1.8362074968499498E-2</v>
      </c>
      <c r="AG437">
        <f t="shared" si="367"/>
        <v>17704.936530497267</v>
      </c>
      <c r="AH437">
        <f t="shared" si="368"/>
        <v>-2286.2632195348865</v>
      </c>
      <c r="AJ437">
        <f t="shared" si="340"/>
        <v>18000</v>
      </c>
      <c r="AK437">
        <f t="shared" si="341"/>
        <v>749054.96208773996</v>
      </c>
      <c r="AL437">
        <v>1</v>
      </c>
      <c r="AM437">
        <f t="shared" si="342"/>
        <v>457.75581016472995</v>
      </c>
      <c r="AN437">
        <f t="shared" si="369"/>
        <v>1636.4417289877654</v>
      </c>
      <c r="AO437">
        <f t="shared" si="370"/>
        <v>-35.747352426009783</v>
      </c>
      <c r="AQ437">
        <f t="shared" si="343"/>
        <v>2.0108986686041006E-3</v>
      </c>
      <c r="AR437">
        <f t="shared" si="344"/>
        <v>-4.4843040309871443</v>
      </c>
      <c r="AT437">
        <f t="shared" si="365"/>
        <v>-10216.696537961041</v>
      </c>
      <c r="AU437">
        <f t="shared" si="366"/>
        <v>-79398.915695744683</v>
      </c>
      <c r="AV437">
        <f t="shared" si="354"/>
        <v>-1.6987686399137687</v>
      </c>
      <c r="AW437">
        <f t="shared" si="355"/>
        <v>41254.162814448086</v>
      </c>
      <c r="AX437">
        <f t="shared" si="356"/>
        <v>-13001.818903529904</v>
      </c>
      <c r="AY437">
        <f t="shared" si="364"/>
        <v>-0.30530983578018428</v>
      </c>
      <c r="BA437">
        <f t="shared" si="345"/>
        <v>1.8507555268671965</v>
      </c>
      <c r="BB437">
        <f t="shared" si="357"/>
        <v>5.3469810995890903</v>
      </c>
      <c r="BC437">
        <f t="shared" si="358"/>
        <v>-1.3934588041335845</v>
      </c>
      <c r="BD437">
        <f t="shared" si="346"/>
        <v>-259.83930849343096</v>
      </c>
      <c r="BF437">
        <f t="shared" si="347"/>
        <v>-42.062807894412543</v>
      </c>
      <c r="BG437">
        <f t="shared" si="348"/>
        <v>-170.6176363992426</v>
      </c>
      <c r="BH437">
        <f t="shared" si="359"/>
        <v>9.3823636007574009</v>
      </c>
      <c r="BI437">
        <f t="shared" si="360"/>
        <v>9.3823636007574009</v>
      </c>
      <c r="BJ437">
        <f t="shared" si="349"/>
        <v>0</v>
      </c>
      <c r="BK437">
        <f t="shared" si="361"/>
        <v>0</v>
      </c>
      <c r="BM437">
        <f t="shared" si="362"/>
        <v>-47.40978899400163</v>
      </c>
      <c r="BN437">
        <f t="shared" si="350"/>
        <v>-90.778327905811679</v>
      </c>
      <c r="BQ437" s="66">
        <f t="shared" si="363"/>
        <v>22.248941899874225</v>
      </c>
    </row>
    <row r="438" spans="1:69" x14ac:dyDescent="0.2">
      <c r="A438">
        <f t="shared" si="372"/>
        <v>1120000</v>
      </c>
      <c r="B438">
        <f t="shared" si="351"/>
        <v>1120</v>
      </c>
      <c r="C438">
        <f t="shared" si="320"/>
        <v>69.675135137171168</v>
      </c>
      <c r="D438">
        <f t="shared" si="321"/>
        <v>1.5564435116515869</v>
      </c>
      <c r="F438">
        <f t="shared" si="322"/>
        <v>4.0588023162412192E-6</v>
      </c>
      <c r="G438">
        <f t="shared" si="323"/>
        <v>8.290644420099174E-4</v>
      </c>
      <c r="H438">
        <f t="shared" si="324"/>
        <v>-3.1407635855579903</v>
      </c>
      <c r="J438">
        <f t="shared" si="325"/>
        <v>15</v>
      </c>
      <c r="M438">
        <f t="shared" si="326"/>
        <v>3.0120528195980495E-3</v>
      </c>
      <c r="N438">
        <f t="shared" si="327"/>
        <v>-1.5707963250000001</v>
      </c>
      <c r="O438">
        <f t="shared" si="328"/>
        <v>331.8743275955693</v>
      </c>
      <c r="P438">
        <f t="shared" si="329"/>
        <v>1.5677831334561139</v>
      </c>
      <c r="Q438">
        <f t="shared" si="330"/>
        <v>459.80961421010574</v>
      </c>
      <c r="R438">
        <f t="shared" si="331"/>
        <v>1.5686215119206544</v>
      </c>
      <c r="S438">
        <f t="shared" si="332"/>
        <v>2.3916158584467394E-2</v>
      </c>
      <c r="T438">
        <f t="shared" si="333"/>
        <v>-1.5468778876854645</v>
      </c>
      <c r="U438">
        <f t="shared" si="334"/>
        <v>0.9920787247009546</v>
      </c>
      <c r="V438">
        <f t="shared" si="335"/>
        <v>-0.12595042844603771</v>
      </c>
      <c r="X438">
        <f t="shared" si="352"/>
        <v>-26.69562342614806</v>
      </c>
      <c r="Y438">
        <f t="shared" si="336"/>
        <v>-96.918106979593531</v>
      </c>
      <c r="Z438">
        <f t="shared" si="353"/>
        <v>83.081893020406469</v>
      </c>
      <c r="AC438">
        <v>1</v>
      </c>
      <c r="AD438">
        <f t="shared" si="337"/>
        <v>331.87282099776002</v>
      </c>
      <c r="AE438">
        <f t="shared" si="338"/>
        <v>-2.335444642006176E-3</v>
      </c>
      <c r="AF438">
        <f t="shared" si="339"/>
        <v>1.8444416111856002E-2</v>
      </c>
      <c r="AG438">
        <f t="shared" si="367"/>
        <v>17702.447630397437</v>
      </c>
      <c r="AH438">
        <f t="shared" si="368"/>
        <v>-2295.713033799354</v>
      </c>
      <c r="AJ438">
        <f t="shared" si="340"/>
        <v>18000</v>
      </c>
      <c r="AK438">
        <f t="shared" si="341"/>
        <v>752413.95294911996</v>
      </c>
      <c r="AL438">
        <v>1</v>
      </c>
      <c r="AM438">
        <f t="shared" si="342"/>
        <v>459.80852680223995</v>
      </c>
      <c r="AN438">
        <f t="shared" si="369"/>
        <v>1636.4410332918571</v>
      </c>
      <c r="AO438">
        <f t="shared" si="370"/>
        <v>-35.587767544263002</v>
      </c>
      <c r="AQ438">
        <f t="shared" si="343"/>
        <v>1.992984296678831E-3</v>
      </c>
      <c r="AR438">
        <f t="shared" si="344"/>
        <v>-4.4642848245605817</v>
      </c>
      <c r="AT438">
        <f t="shared" si="365"/>
        <v>-10213.436158196228</v>
      </c>
      <c r="AU438">
        <f t="shared" si="366"/>
        <v>-79033.343633987752</v>
      </c>
      <c r="AV438">
        <f t="shared" si="354"/>
        <v>-1.6993135200379459</v>
      </c>
      <c r="AW438">
        <f t="shared" si="355"/>
        <v>41249.973099186107</v>
      </c>
      <c r="AX438">
        <f t="shared" si="356"/>
        <v>-12987.930432063007</v>
      </c>
      <c r="AY438">
        <f t="shared" si="364"/>
        <v>-0.30503266087423436</v>
      </c>
      <c r="BA438">
        <f t="shared" si="345"/>
        <v>1.84271165464159</v>
      </c>
      <c r="BB438">
        <f t="shared" si="357"/>
        <v>5.3091476528871731</v>
      </c>
      <c r="BC438">
        <f t="shared" si="358"/>
        <v>-1.3942808591637115</v>
      </c>
      <c r="BD438">
        <f t="shared" si="346"/>
        <v>-259.88640877723856</v>
      </c>
      <c r="BF438">
        <f t="shared" si="347"/>
        <v>-42.139512780875059</v>
      </c>
      <c r="BG438">
        <f t="shared" si="348"/>
        <v>-170.66126251365549</v>
      </c>
      <c r="BH438">
        <f t="shared" si="359"/>
        <v>9.3387374863445132</v>
      </c>
      <c r="BI438">
        <f t="shared" si="360"/>
        <v>9.3387374863445132</v>
      </c>
      <c r="BJ438">
        <f t="shared" si="349"/>
        <v>0</v>
      </c>
      <c r="BK438">
        <f t="shared" si="361"/>
        <v>0</v>
      </c>
      <c r="BM438">
        <f t="shared" si="362"/>
        <v>-47.448660433762228</v>
      </c>
      <c r="BN438">
        <f t="shared" si="350"/>
        <v>-90.774853736416972</v>
      </c>
      <c r="BQ438" s="66">
        <f t="shared" si="363"/>
        <v>22.211108453172308</v>
      </c>
    </row>
    <row r="439" spans="1:69" x14ac:dyDescent="0.2">
      <c r="A439">
        <f t="shared" si="372"/>
        <v>1125000</v>
      </c>
      <c r="B439">
        <f t="shared" si="351"/>
        <v>1125</v>
      </c>
      <c r="C439">
        <f t="shared" si="320"/>
        <v>69.986120917092251</v>
      </c>
      <c r="D439">
        <f t="shared" si="321"/>
        <v>1.5565072932391062</v>
      </c>
      <c r="F439">
        <f t="shared" si="322"/>
        <v>4.0228041135245699E-6</v>
      </c>
      <c r="G439">
        <f t="shared" si="323"/>
        <v>8.2537968286988499E-4</v>
      </c>
      <c r="H439">
        <f t="shared" si="324"/>
        <v>-3.1407672703171303</v>
      </c>
      <c r="J439">
        <f t="shared" si="325"/>
        <v>15</v>
      </c>
      <c r="M439">
        <f t="shared" si="326"/>
        <v>2.9986659181776136E-3</v>
      </c>
      <c r="N439">
        <f t="shared" si="327"/>
        <v>-1.5707963250000001</v>
      </c>
      <c r="O439">
        <f t="shared" si="328"/>
        <v>333.35589599334929</v>
      </c>
      <c r="P439">
        <f t="shared" si="329"/>
        <v>1.5677965253459882</v>
      </c>
      <c r="Q439">
        <f t="shared" si="330"/>
        <v>461.86232601470323</v>
      </c>
      <c r="R439">
        <f t="shared" si="331"/>
        <v>1.5686311777342643</v>
      </c>
      <c r="S439">
        <f t="shared" si="332"/>
        <v>2.3809924940166882E-2</v>
      </c>
      <c r="T439">
        <f t="shared" si="333"/>
        <v>-1.5469841515898353</v>
      </c>
      <c r="U439">
        <f t="shared" si="334"/>
        <v>0.99200868858409508</v>
      </c>
      <c r="V439">
        <f t="shared" si="335"/>
        <v>-0.12650674025929218</v>
      </c>
      <c r="X439">
        <f t="shared" si="352"/>
        <v>-26.734913349816139</v>
      </c>
      <c r="Y439">
        <f t="shared" si="336"/>
        <v>-96.951305368136047</v>
      </c>
      <c r="Z439">
        <f t="shared" si="353"/>
        <v>83.048694631863953</v>
      </c>
      <c r="AC439">
        <v>1</v>
      </c>
      <c r="AD439">
        <f t="shared" si="337"/>
        <v>333.35439609150001</v>
      </c>
      <c r="AE439">
        <f t="shared" si="338"/>
        <v>-2.3563433713640518E-3</v>
      </c>
      <c r="AF439">
        <f t="shared" si="339"/>
        <v>1.8526757255212502E-2</v>
      </c>
      <c r="AG439">
        <f t="shared" si="367"/>
        <v>17699.948298645519</v>
      </c>
      <c r="AH439">
        <f t="shared" si="368"/>
        <v>-2305.1608686125646</v>
      </c>
      <c r="AJ439">
        <f t="shared" si="340"/>
        <v>18000</v>
      </c>
      <c r="AK439">
        <f t="shared" si="341"/>
        <v>755772.94381049997</v>
      </c>
      <c r="AL439">
        <v>1</v>
      </c>
      <c r="AM439">
        <f t="shared" si="342"/>
        <v>461.86124343975001</v>
      </c>
      <c r="AN439">
        <f t="shared" si="369"/>
        <v>1636.440346851208</v>
      </c>
      <c r="AO439">
        <f t="shared" si="370"/>
        <v>-35.429601174759377</v>
      </c>
      <c r="AQ439">
        <f t="shared" si="343"/>
        <v>1.9753082517909625E-3</v>
      </c>
      <c r="AR439">
        <f t="shared" si="344"/>
        <v>-4.4444435665296655</v>
      </c>
      <c r="AT439">
        <f t="shared" si="365"/>
        <v>-10210.19453839046</v>
      </c>
      <c r="AU439">
        <f t="shared" si="366"/>
        <v>-78670.974747108252</v>
      </c>
      <c r="AV439">
        <f t="shared" si="354"/>
        <v>-1.6998584240879164</v>
      </c>
      <c r="AW439">
        <f t="shared" si="355"/>
        <v>41245.741300467002</v>
      </c>
      <c r="AX439">
        <f t="shared" si="356"/>
        <v>-12974.349723282581</v>
      </c>
      <c r="AY439">
        <f t="shared" si="364"/>
        <v>-0.30476246315138084</v>
      </c>
      <c r="BA439">
        <f t="shared" si="345"/>
        <v>1.8347364607048045</v>
      </c>
      <c r="BB439">
        <f t="shared" si="357"/>
        <v>5.2714738308219298</v>
      </c>
      <c r="BC439">
        <f t="shared" si="358"/>
        <v>-1.3950959609365357</v>
      </c>
      <c r="BD439">
        <f t="shared" si="346"/>
        <v>-259.93311066874833</v>
      </c>
      <c r="BF439">
        <f t="shared" si="347"/>
        <v>-42.215884821666016</v>
      </c>
      <c r="BG439">
        <f t="shared" si="348"/>
        <v>-170.70452111053314</v>
      </c>
      <c r="BH439">
        <f t="shared" si="359"/>
        <v>9.2954788894668638</v>
      </c>
      <c r="BI439">
        <f t="shared" si="360"/>
        <v>9.2954788894668638</v>
      </c>
      <c r="BJ439">
        <f t="shared" si="349"/>
        <v>0</v>
      </c>
      <c r="BK439">
        <f t="shared" si="361"/>
        <v>0</v>
      </c>
      <c r="BM439">
        <f t="shared" si="362"/>
        <v>-47.487358652487941</v>
      </c>
      <c r="BN439">
        <f t="shared" si="350"/>
        <v>-90.771410441784781</v>
      </c>
      <c r="BQ439" s="66">
        <f t="shared" si="363"/>
        <v>22.173434631107067</v>
      </c>
    </row>
    <row r="440" spans="1:69" x14ac:dyDescent="0.2">
      <c r="A440">
        <f t="shared" si="372"/>
        <v>1130000</v>
      </c>
      <c r="B440">
        <f t="shared" si="351"/>
        <v>1130</v>
      </c>
      <c r="C440">
        <f t="shared" si="320"/>
        <v>70.297106979204173</v>
      </c>
      <c r="D440">
        <f t="shared" si="321"/>
        <v>1.5565705105025267</v>
      </c>
      <c r="F440">
        <f t="shared" si="322"/>
        <v>3.9872827074231666E-6</v>
      </c>
      <c r="G440">
        <f t="shared" si="323"/>
        <v>8.2172753259081646E-4</v>
      </c>
      <c r="H440">
        <f t="shared" si="324"/>
        <v>-3.1407709224674094</v>
      </c>
      <c r="J440">
        <f t="shared" si="325"/>
        <v>15</v>
      </c>
      <c r="M440">
        <f t="shared" si="326"/>
        <v>2.9853974849113406E-3</v>
      </c>
      <c r="N440">
        <f t="shared" si="327"/>
        <v>-1.5707963250000001</v>
      </c>
      <c r="O440">
        <f t="shared" si="328"/>
        <v>334.83746445038508</v>
      </c>
      <c r="P440">
        <f t="shared" si="329"/>
        <v>1.5678097987246244</v>
      </c>
      <c r="Q440">
        <f t="shared" si="330"/>
        <v>463.91503786206977</v>
      </c>
      <c r="R440">
        <f t="shared" si="331"/>
        <v>1.5686407580101001</v>
      </c>
      <c r="S440">
        <f t="shared" si="332"/>
        <v>2.3704630620686971E-2</v>
      </c>
      <c r="T440">
        <f t="shared" si="333"/>
        <v>-1.5470894756364395</v>
      </c>
      <c r="U440">
        <f t="shared" si="334"/>
        <v>0.99193835543215236</v>
      </c>
      <c r="V440">
        <f t="shared" si="335"/>
        <v>-0.12706297335995201</v>
      </c>
      <c r="X440">
        <f t="shared" si="352"/>
        <v>-26.774034518690534</v>
      </c>
      <c r="Y440">
        <f t="shared" si="336"/>
        <v>-96.984487553081991</v>
      </c>
      <c r="Z440">
        <f t="shared" si="353"/>
        <v>83.015512446918009</v>
      </c>
      <c r="AC440">
        <v>1</v>
      </c>
      <c r="AD440">
        <f t="shared" si="337"/>
        <v>334.83597118524006</v>
      </c>
      <c r="AE440">
        <f t="shared" si="338"/>
        <v>-2.3773351908304261E-3</v>
      </c>
      <c r="AF440">
        <f t="shared" si="339"/>
        <v>1.8609098398569002E-2</v>
      </c>
      <c r="AG440">
        <f t="shared" si="367"/>
        <v>17697.438544374021</v>
      </c>
      <c r="AH440">
        <f t="shared" si="368"/>
        <v>-2314.6066787637246</v>
      </c>
      <c r="AJ440">
        <f t="shared" si="340"/>
        <v>18000</v>
      </c>
      <c r="AK440">
        <f t="shared" si="341"/>
        <v>759131.93467187998</v>
      </c>
      <c r="AL440">
        <v>1</v>
      </c>
      <c r="AM440">
        <f t="shared" si="342"/>
        <v>463.91396007726001</v>
      </c>
      <c r="AN440">
        <f t="shared" si="369"/>
        <v>1636.439669502372</v>
      </c>
      <c r="AO440">
        <f t="shared" si="370"/>
        <v>-35.272834488042669</v>
      </c>
      <c r="AQ440">
        <f t="shared" si="343"/>
        <v>1.95786632511036E-3</v>
      </c>
      <c r="AR440">
        <f t="shared" si="344"/>
        <v>-4.4247778947494139</v>
      </c>
      <c r="AT440">
        <f t="shared" si="365"/>
        <v>-10206.971248266345</v>
      </c>
      <c r="AU440">
        <f t="shared" si="366"/>
        <v>-78311.766555304639</v>
      </c>
      <c r="AV440">
        <f t="shared" si="354"/>
        <v>-1.7004033503778917</v>
      </c>
      <c r="AW440">
        <f t="shared" si="355"/>
        <v>41241.467768128816</v>
      </c>
      <c r="AX440">
        <f t="shared" si="356"/>
        <v>-12961.072530374175</v>
      </c>
      <c r="AY440">
        <f t="shared" si="364"/>
        <v>-0.30449915141491335</v>
      </c>
      <c r="BA440">
        <f t="shared" si="345"/>
        <v>1.8268290814463302</v>
      </c>
      <c r="BB440">
        <f t="shared" si="357"/>
        <v>5.2339583312100775</v>
      </c>
      <c r="BC440">
        <f t="shared" si="358"/>
        <v>-1.3959041989629783</v>
      </c>
      <c r="BD440">
        <f t="shared" si="346"/>
        <v>-259.97941929655843</v>
      </c>
      <c r="BF440">
        <f t="shared" si="347"/>
        <v>-42.291926856278963</v>
      </c>
      <c r="BG440">
        <f t="shared" si="348"/>
        <v>-170.74741690875007</v>
      </c>
      <c r="BH440">
        <f t="shared" si="359"/>
        <v>9.2525830912499316</v>
      </c>
      <c r="BI440">
        <f t="shared" si="360"/>
        <v>9.2525830912499316</v>
      </c>
      <c r="BJ440">
        <f t="shared" si="349"/>
        <v>0</v>
      </c>
      <c r="BK440">
        <f t="shared" si="361"/>
        <v>0</v>
      </c>
      <c r="BM440">
        <f t="shared" si="362"/>
        <v>-47.525885187489038</v>
      </c>
      <c r="BN440">
        <f t="shared" si="350"/>
        <v>-90.767997612191664</v>
      </c>
      <c r="BQ440" s="66">
        <f t="shared" si="363"/>
        <v>22.135919131495214</v>
      </c>
    </row>
    <row r="441" spans="1:69" x14ac:dyDescent="0.2">
      <c r="A441">
        <f t="shared" si="372"/>
        <v>1135000</v>
      </c>
      <c r="B441">
        <f t="shared" si="351"/>
        <v>1135</v>
      </c>
      <c r="C441">
        <f t="shared" si="320"/>
        <v>70.60809331977832</v>
      </c>
      <c r="D441">
        <f t="shared" si="321"/>
        <v>1.5566331708978687</v>
      </c>
      <c r="F441">
        <f t="shared" si="322"/>
        <v>3.9522297147166661E-6</v>
      </c>
      <c r="G441">
        <f t="shared" si="323"/>
        <v>8.1810756021207334E-4</v>
      </c>
      <c r="H441">
        <f t="shared" si="324"/>
        <v>-3.1407745424397882</v>
      </c>
      <c r="J441">
        <f t="shared" si="325"/>
        <v>15</v>
      </c>
      <c r="M441">
        <f t="shared" si="326"/>
        <v>2.9722459541408064E-3</v>
      </c>
      <c r="N441">
        <f t="shared" si="327"/>
        <v>-1.5707963250000001</v>
      </c>
      <c r="O441">
        <f t="shared" si="328"/>
        <v>336.31903296589365</v>
      </c>
      <c r="P441">
        <f t="shared" si="329"/>
        <v>1.5678229551582319</v>
      </c>
      <c r="Q441">
        <f t="shared" si="330"/>
        <v>465.96774975163999</v>
      </c>
      <c r="R441">
        <f t="shared" si="331"/>
        <v>1.5686502538786096</v>
      </c>
      <c r="S441">
        <f t="shared" si="332"/>
        <v>2.3600263225966034E-2</v>
      </c>
      <c r="T441">
        <f t="shared" si="333"/>
        <v>-1.5471938722370187</v>
      </c>
      <c r="U441">
        <f t="shared" si="334"/>
        <v>0.99186772543885182</v>
      </c>
      <c r="V441">
        <f t="shared" si="335"/>
        <v>-0.12761912742060305</v>
      </c>
      <c r="X441">
        <f t="shared" si="352"/>
        <v>-26.81298844356299</v>
      </c>
      <c r="Y441">
        <f t="shared" si="336"/>
        <v>-97.01765366979896</v>
      </c>
      <c r="Z441">
        <f t="shared" si="353"/>
        <v>82.98234633020104</v>
      </c>
      <c r="AC441">
        <v>1</v>
      </c>
      <c r="AD441">
        <f t="shared" si="337"/>
        <v>336.31754627898005</v>
      </c>
      <c r="AE441">
        <f t="shared" si="338"/>
        <v>-2.3984201004052983E-3</v>
      </c>
      <c r="AF441">
        <f t="shared" si="339"/>
        <v>1.8691439541925502E-2</v>
      </c>
      <c r="AG441">
        <f t="shared" si="367"/>
        <v>17694.918376749607</v>
      </c>
      <c r="AH441">
        <f t="shared" si="368"/>
        <v>-2324.0504195725734</v>
      </c>
      <c r="AJ441">
        <f t="shared" si="340"/>
        <v>18000</v>
      </c>
      <c r="AK441">
        <f t="shared" si="341"/>
        <v>762490.92553325999</v>
      </c>
      <c r="AL441">
        <v>1</v>
      </c>
      <c r="AM441">
        <f t="shared" si="342"/>
        <v>465.96667671477002</v>
      </c>
      <c r="AN441">
        <f t="shared" si="369"/>
        <v>1636.4390010854956</v>
      </c>
      <c r="AO441">
        <f t="shared" si="370"/>
        <v>-35.117448986445552</v>
      </c>
      <c r="AQ441">
        <f t="shared" si="343"/>
        <v>1.9406544003077101E-3</v>
      </c>
      <c r="AR441">
        <f t="shared" si="344"/>
        <v>-4.4052854886985022</v>
      </c>
      <c r="AT441">
        <f t="shared" si="365"/>
        <v>-10203.765867135799</v>
      </c>
      <c r="AU441">
        <f t="shared" si="366"/>
        <v>-77955.677327472789</v>
      </c>
      <c r="AV441">
        <f t="shared" si="354"/>
        <v>-1.7009482972463004</v>
      </c>
      <c r="AW441">
        <f t="shared" si="355"/>
        <v>41237.152844848621</v>
      </c>
      <c r="AX441">
        <f t="shared" si="356"/>
        <v>-12948.094680778226</v>
      </c>
      <c r="AY441">
        <f t="shared" si="364"/>
        <v>-0.3042426360104461</v>
      </c>
      <c r="BA441">
        <f t="shared" si="345"/>
        <v>1.8189886674617806</v>
      </c>
      <c r="BB441">
        <f t="shared" si="357"/>
        <v>5.1965998672053946</v>
      </c>
      <c r="BC441">
        <f t="shared" si="358"/>
        <v>-1.3967056612358544</v>
      </c>
      <c r="BD441">
        <f t="shared" si="346"/>
        <v>-260.02533970228563</v>
      </c>
      <c r="BF441">
        <f t="shared" si="347"/>
        <v>-42.367641688491418</v>
      </c>
      <c r="BG441">
        <f t="shared" si="348"/>
        <v>-170.78995454741698</v>
      </c>
      <c r="BH441">
        <f t="shared" si="359"/>
        <v>9.2100454525830173</v>
      </c>
      <c r="BI441">
        <f t="shared" si="360"/>
        <v>9.2100454525830173</v>
      </c>
      <c r="BJ441">
        <f t="shared" si="349"/>
        <v>0</v>
      </c>
      <c r="BK441">
        <f t="shared" si="361"/>
        <v>0</v>
      </c>
      <c r="BM441">
        <f t="shared" si="362"/>
        <v>-47.564241555696817</v>
      </c>
      <c r="BN441">
        <f t="shared" si="350"/>
        <v>-90.764614845131334</v>
      </c>
      <c r="BQ441" s="66">
        <f t="shared" si="363"/>
        <v>22.098560667490531</v>
      </c>
    </row>
    <row r="442" spans="1:69" x14ac:dyDescent="0.2">
      <c r="A442">
        <f t="shared" si="372"/>
        <v>1140000</v>
      </c>
      <c r="B442">
        <f t="shared" si="351"/>
        <v>1140</v>
      </c>
      <c r="C442">
        <f t="shared" si="320"/>
        <v>70.91907993515143</v>
      </c>
      <c r="D442">
        <f t="shared" si="321"/>
        <v>1.5566952817503878</v>
      </c>
      <c r="F442">
        <f t="shared" si="322"/>
        <v>3.9176369356245566E-6</v>
      </c>
      <c r="G442">
        <f t="shared" si="323"/>
        <v>8.1451934233387131E-4</v>
      </c>
      <c r="H442">
        <f t="shared" si="324"/>
        <v>-3.1407781306576665</v>
      </c>
      <c r="J442">
        <f t="shared" si="325"/>
        <v>15</v>
      </c>
      <c r="M442">
        <f t="shared" si="326"/>
        <v>2.9592097876752765E-3</v>
      </c>
      <c r="N442">
        <f t="shared" si="327"/>
        <v>-1.5707963250000001</v>
      </c>
      <c r="O442">
        <f t="shared" si="328"/>
        <v>337.80060153910568</v>
      </c>
      <c r="P442">
        <f t="shared" si="329"/>
        <v>1.5678359961855428</v>
      </c>
      <c r="Q442">
        <f t="shared" si="330"/>
        <v>468.02046168285869</v>
      </c>
      <c r="R442">
        <f t="shared" si="331"/>
        <v>1.5686596664504089</v>
      </c>
      <c r="S442">
        <f t="shared" si="332"/>
        <v>2.3496810573184326E-2</v>
      </c>
      <c r="T442">
        <f t="shared" si="333"/>
        <v>-1.5472973535857673</v>
      </c>
      <c r="U442">
        <f t="shared" si="334"/>
        <v>0.99179679879866167</v>
      </c>
      <c r="V442">
        <f t="shared" si="335"/>
        <v>-0.12817520211411984</v>
      </c>
      <c r="X442">
        <f t="shared" si="352"/>
        <v>-26.85177661530993</v>
      </c>
      <c r="Y442">
        <f t="shared" si="336"/>
        <v>-97.050803850976209</v>
      </c>
      <c r="Z442">
        <f t="shared" si="353"/>
        <v>82.949196149023791</v>
      </c>
      <c r="AC442">
        <v>1</v>
      </c>
      <c r="AD442">
        <f t="shared" si="337"/>
        <v>337.79912137272004</v>
      </c>
      <c r="AE442">
        <f t="shared" si="338"/>
        <v>-2.4195981000886694E-3</v>
      </c>
      <c r="AF442">
        <f t="shared" si="339"/>
        <v>1.8773780685282002E-2</v>
      </c>
      <c r="AG442">
        <f t="shared" si="367"/>
        <v>17692.387804973008</v>
      </c>
      <c r="AH442">
        <f t="shared" si="368"/>
        <v>-2333.4920468783876</v>
      </c>
      <c r="AJ442">
        <f t="shared" si="340"/>
        <v>18000</v>
      </c>
      <c r="AK442">
        <f t="shared" si="341"/>
        <v>765849.91639463999</v>
      </c>
      <c r="AL442">
        <v>1</v>
      </c>
      <c r="AM442">
        <f t="shared" si="342"/>
        <v>468.01939335228002</v>
      </c>
      <c r="AN442">
        <f t="shared" si="369"/>
        <v>1636.4383414442239</v>
      </c>
      <c r="AO442">
        <f t="shared" si="370"/>
        <v>-34.963426496813696</v>
      </c>
      <c r="AQ442">
        <f t="shared" si="343"/>
        <v>1.9236684511256441E-3</v>
      </c>
      <c r="AR442">
        <f t="shared" si="344"/>
        <v>-4.3859640685664685</v>
      </c>
      <c r="AT442">
        <f t="shared" si="365"/>
        <v>-10200.577983648724</v>
      </c>
      <c r="AU442">
        <f t="shared" si="366"/>
        <v>-77602.66606478671</v>
      </c>
      <c r="AV442">
        <f t="shared" si="354"/>
        <v>-1.7014932630552659</v>
      </c>
      <c r="AW442">
        <f t="shared" si="355"/>
        <v>41232.796866332428</v>
      </c>
      <c r="AX442">
        <f t="shared" si="356"/>
        <v>-12935.412074562608</v>
      </c>
      <c r="AY442">
        <f t="shared" si="364"/>
        <v>-0.30399282879359452</v>
      </c>
      <c r="BA442">
        <f t="shared" si="345"/>
        <v>1.8112143832666394</v>
      </c>
      <c r="BB442">
        <f t="shared" si="357"/>
        <v>5.1593971670686987</v>
      </c>
      <c r="BC442">
        <f t="shared" si="358"/>
        <v>-1.3975004342616715</v>
      </c>
      <c r="BD442">
        <f t="shared" si="346"/>
        <v>-260.07087684238786</v>
      </c>
      <c r="BF442">
        <f t="shared" si="347"/>
        <v>-42.443032086953643</v>
      </c>
      <c r="BG442">
        <f t="shared" si="348"/>
        <v>-170.83213858754442</v>
      </c>
      <c r="BH442">
        <f t="shared" si="359"/>
        <v>9.1678614124555793</v>
      </c>
      <c r="BI442">
        <f t="shared" si="360"/>
        <v>9.1678614124555793</v>
      </c>
      <c r="BJ442">
        <f t="shared" si="349"/>
        <v>0</v>
      </c>
      <c r="BK442">
        <f t="shared" si="361"/>
        <v>0</v>
      </c>
      <c r="BM442">
        <f t="shared" si="362"/>
        <v>-47.602429254022347</v>
      </c>
      <c r="BN442">
        <f t="shared" si="350"/>
        <v>-90.761261745156602</v>
      </c>
      <c r="BQ442" s="66">
        <f t="shared" si="363"/>
        <v>22.061357967353835</v>
      </c>
    </row>
    <row r="443" spans="1:69" x14ac:dyDescent="0.2">
      <c r="A443">
        <f t="shared" si="372"/>
        <v>1145000</v>
      </c>
      <c r="B443">
        <f t="shared" si="351"/>
        <v>1145</v>
      </c>
      <c r="C443">
        <f t="shared" si="320"/>
        <v>71.230066821724265</v>
      </c>
      <c r="D443">
        <f t="shared" si="321"/>
        <v>1.5567568502574312</v>
      </c>
      <c r="F443">
        <f t="shared" si="322"/>
        <v>3.8834963490103579E-6</v>
      </c>
      <c r="G443">
        <f t="shared" si="323"/>
        <v>8.1096246295219462E-4</v>
      </c>
      <c r="H443">
        <f t="shared" si="324"/>
        <v>-3.1407816875370482</v>
      </c>
      <c r="J443">
        <f t="shared" si="325"/>
        <v>15</v>
      </c>
      <c r="M443">
        <f t="shared" si="326"/>
        <v>2.9462874741919783E-3</v>
      </c>
      <c r="N443">
        <f t="shared" si="327"/>
        <v>-1.5707963250000001</v>
      </c>
      <c r="O443">
        <f t="shared" si="328"/>
        <v>339.28217016926516</v>
      </c>
      <c r="P443">
        <f t="shared" si="329"/>
        <v>1.5678489233184123</v>
      </c>
      <c r="Q443">
        <f t="shared" si="330"/>
        <v>470.07317365518026</v>
      </c>
      <c r="R443">
        <f t="shared" si="331"/>
        <v>1.5686689968167145</v>
      </c>
      <c r="S443">
        <f t="shared" si="332"/>
        <v>2.3394260692028587E-2</v>
      </c>
      <c r="T443">
        <f t="shared" si="333"/>
        <v>-1.5473999316640765</v>
      </c>
      <c r="U443">
        <f t="shared" si="334"/>
        <v>0.99172557570679276</v>
      </c>
      <c r="V443">
        <f t="shared" si="335"/>
        <v>-0.12873119711366654</v>
      </c>
      <c r="X443">
        <f t="shared" si="352"/>
        <v>-26.89040050524039</v>
      </c>
      <c r="Y443">
        <f t="shared" si="336"/>
        <v>-97.083938226683216</v>
      </c>
      <c r="Z443">
        <f t="shared" si="353"/>
        <v>82.916061773316784</v>
      </c>
      <c r="AC443">
        <v>1</v>
      </c>
      <c r="AD443">
        <f t="shared" si="337"/>
        <v>339.28069646646003</v>
      </c>
      <c r="AE443">
        <f t="shared" si="338"/>
        <v>-2.440869189880538E-3</v>
      </c>
      <c r="AF443">
        <f t="shared" si="339"/>
        <v>1.8856121828638502E-2</v>
      </c>
      <c r="AG443">
        <f t="shared" si="367"/>
        <v>17689.846838278936</v>
      </c>
      <c r="AH443">
        <f t="shared" si="368"/>
        <v>-2342.9315170292684</v>
      </c>
      <c r="AJ443">
        <f t="shared" si="340"/>
        <v>18000</v>
      </c>
      <c r="AK443">
        <f t="shared" si="341"/>
        <v>769208.90725601988</v>
      </c>
      <c r="AL443">
        <v>1</v>
      </c>
      <c r="AM443">
        <f t="shared" si="342"/>
        <v>470.07210998978996</v>
      </c>
      <c r="AN443">
        <f t="shared" si="369"/>
        <v>1636.4376904256062</v>
      </c>
      <c r="AO443">
        <f t="shared" si="370"/>
        <v>-34.810749163420503</v>
      </c>
      <c r="AQ443">
        <f t="shared" si="343"/>
        <v>1.9069045390239434E-3</v>
      </c>
      <c r="AR443">
        <f t="shared" si="344"/>
        <v>-4.3668113943648299</v>
      </c>
      <c r="AT443">
        <f t="shared" si="365"/>
        <v>-10197.407195549333</v>
      </c>
      <c r="AU443">
        <f t="shared" si="366"/>
        <v>-77252.692484709565</v>
      </c>
      <c r="AV443">
        <f t="shared" si="354"/>
        <v>-1.7020382461900969</v>
      </c>
      <c r="AW443">
        <f t="shared" si="355"/>
        <v>41228.40016149915</v>
      </c>
      <c r="AX443">
        <f t="shared" si="356"/>
        <v>-12923.020682837803</v>
      </c>
      <c r="AY443">
        <f t="shared" si="364"/>
        <v>-0.30374964309845681</v>
      </c>
      <c r="BA443">
        <f t="shared" si="345"/>
        <v>1.8035054070167873</v>
      </c>
      <c r="BB443">
        <f t="shared" si="357"/>
        <v>5.1223489739419126</v>
      </c>
      <c r="BC443">
        <f t="shared" si="358"/>
        <v>-1.3982886030916402</v>
      </c>
      <c r="BD443">
        <f t="shared" si="346"/>
        <v>-260.1160355899404</v>
      </c>
      <c r="BF443">
        <f t="shared" si="347"/>
        <v>-42.518100785765341</v>
      </c>
      <c r="BG443">
        <f t="shared" si="348"/>
        <v>-170.8739735136655</v>
      </c>
      <c r="BH443">
        <f t="shared" si="359"/>
        <v>9.1260264863344958</v>
      </c>
      <c r="BI443">
        <f t="shared" si="360"/>
        <v>9.1260264863344958</v>
      </c>
      <c r="BJ443">
        <f t="shared" si="349"/>
        <v>0</v>
      </c>
      <c r="BK443">
        <f t="shared" si="361"/>
        <v>0</v>
      </c>
      <c r="BM443">
        <f t="shared" si="362"/>
        <v>-47.640449759707259</v>
      </c>
      <c r="BN443">
        <f t="shared" si="350"/>
        <v>-90.757937923725109</v>
      </c>
      <c r="BQ443" s="66">
        <f t="shared" si="363"/>
        <v>22.024309774227049</v>
      </c>
    </row>
    <row r="444" spans="1:69" x14ac:dyDescent="0.2">
      <c r="A444">
        <f t="shared" si="372"/>
        <v>1150000</v>
      </c>
      <c r="B444">
        <f t="shared" si="351"/>
        <v>1150</v>
      </c>
      <c r="C444">
        <f t="shared" si="320"/>
        <v>71.541053975960097</v>
      </c>
      <c r="D444">
        <f t="shared" si="321"/>
        <v>1.5568178834912147</v>
      </c>
      <c r="F444">
        <f t="shared" si="322"/>
        <v>3.8498001077314651E-6</v>
      </c>
      <c r="G444">
        <f t="shared" si="323"/>
        <v>8.074365132980123E-4</v>
      </c>
      <c r="H444">
        <f t="shared" si="324"/>
        <v>-3.1407852134867023</v>
      </c>
      <c r="J444">
        <f t="shared" si="325"/>
        <v>15</v>
      </c>
      <c r="M444">
        <f t="shared" si="326"/>
        <v>2.9334775286520131E-3</v>
      </c>
      <c r="N444">
        <f t="shared" si="327"/>
        <v>-1.5707963250000001</v>
      </c>
      <c r="O444">
        <f t="shared" si="328"/>
        <v>340.76373885562924</v>
      </c>
      <c r="P444">
        <f t="shared" si="329"/>
        <v>1.5678617380424034</v>
      </c>
      <c r="Q444">
        <f t="shared" si="330"/>
        <v>472.12588566806852</v>
      </c>
      <c r="R444">
        <f t="shared" si="331"/>
        <v>1.5686782460497657</v>
      </c>
      <c r="S444">
        <f t="shared" si="332"/>
        <v>2.3292601820079934E-2</v>
      </c>
      <c r="T444">
        <f t="shared" si="333"/>
        <v>-1.547501618245156</v>
      </c>
      <c r="U444">
        <f t="shared" si="334"/>
        <v>0.99165405635919535</v>
      </c>
      <c r="V444">
        <f t="shared" si="335"/>
        <v>-0.12928711209269811</v>
      </c>
      <c r="X444">
        <f t="shared" si="352"/>
        <v>-26.928861565436435</v>
      </c>
      <c r="Y444">
        <f t="shared" si="336"/>
        <v>-97.117056924426862</v>
      </c>
      <c r="Z444">
        <f t="shared" si="353"/>
        <v>82.882943075573138</v>
      </c>
      <c r="AC444">
        <v>1</v>
      </c>
      <c r="AD444">
        <f t="shared" si="337"/>
        <v>340.76227156020002</v>
      </c>
      <c r="AE444">
        <f t="shared" si="338"/>
        <v>-2.4622333697809059E-3</v>
      </c>
      <c r="AF444">
        <f t="shared" si="339"/>
        <v>1.8938462971994998E-2</v>
      </c>
      <c r="AG444">
        <f t="shared" si="367"/>
        <v>17687.295485936014</v>
      </c>
      <c r="AH444">
        <f t="shared" si="368"/>
        <v>-2352.3687868717184</v>
      </c>
      <c r="AJ444">
        <f t="shared" si="340"/>
        <v>18000</v>
      </c>
      <c r="AK444">
        <f t="shared" si="341"/>
        <v>772567.89811740001</v>
      </c>
      <c r="AL444">
        <v>1</v>
      </c>
      <c r="AM444">
        <f t="shared" si="342"/>
        <v>472.12482662729997</v>
      </c>
      <c r="AN444">
        <f t="shared" si="369"/>
        <v>1636.4370478800115</v>
      </c>
      <c r="AO444">
        <f t="shared" si="370"/>
        <v>-34.659399441066775</v>
      </c>
      <c r="AQ444">
        <f t="shared" si="343"/>
        <v>1.8903588108962551E-3</v>
      </c>
      <c r="AR444">
        <f t="shared" si="344"/>
        <v>-4.3478252650613864</v>
      </c>
      <c r="AT444">
        <f t="shared" si="365"/>
        <v>-10194.253109439896</v>
      </c>
      <c r="AU444">
        <f t="shared" si="366"/>
        <v>-76905.717005421553</v>
      </c>
      <c r="AV444">
        <f t="shared" si="354"/>
        <v>-1.7025832450587888</v>
      </c>
      <c r="AW444">
        <f t="shared" si="355"/>
        <v>41223.963052659201</v>
      </c>
      <c r="AX444">
        <f t="shared" si="356"/>
        <v>-12910.916546213484</v>
      </c>
      <c r="AY444">
        <f t="shared" si="364"/>
        <v>-0.3035129937068744</v>
      </c>
      <c r="BA444">
        <f t="shared" si="345"/>
        <v>1.7958609302355988</v>
      </c>
      <c r="BB444">
        <f t="shared" si="357"/>
        <v>5.0854540456260366</v>
      </c>
      <c r="BC444">
        <f t="shared" si="358"/>
        <v>-1.3990702513519144</v>
      </c>
      <c r="BD444">
        <f t="shared" si="346"/>
        <v>-260.16082073636903</v>
      </c>
      <c r="BF444">
        <f t="shared" si="347"/>
        <v>-42.592850485040898</v>
      </c>
      <c r="BG444">
        <f t="shared" si="348"/>
        <v>-170.91546373541848</v>
      </c>
      <c r="BH444">
        <f t="shared" si="359"/>
        <v>9.0845362645815158</v>
      </c>
      <c r="BI444">
        <f t="shared" si="360"/>
        <v>9.0845362645815158</v>
      </c>
      <c r="BJ444">
        <f t="shared" si="349"/>
        <v>0</v>
      </c>
      <c r="BK444">
        <f t="shared" si="361"/>
        <v>0</v>
      </c>
      <c r="BM444">
        <f t="shared" si="362"/>
        <v>-47.678304530666935</v>
      </c>
      <c r="BN444">
        <f t="shared" si="350"/>
        <v>-90.754642999049466</v>
      </c>
      <c r="BQ444" s="66">
        <f t="shared" si="363"/>
        <v>21.987414845911175</v>
      </c>
    </row>
    <row r="445" spans="1:69" x14ac:dyDescent="0.2">
      <c r="A445">
        <f t="shared" si="372"/>
        <v>1155000</v>
      </c>
      <c r="B445">
        <f t="shared" si="351"/>
        <v>1155</v>
      </c>
      <c r="C445">
        <f t="shared" si="320"/>
        <v>71.852041394383463</v>
      </c>
      <c r="D445">
        <f t="shared" si="321"/>
        <v>1.5568783884015325</v>
      </c>
      <c r="F445">
        <f t="shared" si="322"/>
        <v>3.8165405341295982E-6</v>
      </c>
      <c r="G445">
        <f t="shared" si="323"/>
        <v>8.0394109168067604E-4</v>
      </c>
      <c r="H445">
        <f t="shared" si="324"/>
        <v>-3.1407887089083197</v>
      </c>
      <c r="J445">
        <f t="shared" si="325"/>
        <v>15</v>
      </c>
      <c r="M445">
        <f t="shared" si="326"/>
        <v>2.9207784917314422E-3</v>
      </c>
      <c r="N445">
        <f t="shared" si="327"/>
        <v>-1.5707963250000001</v>
      </c>
      <c r="O445">
        <f t="shared" si="328"/>
        <v>342.24530759746824</v>
      </c>
      <c r="P445">
        <f t="shared" si="329"/>
        <v>1.5678744418173542</v>
      </c>
      <c r="Q445">
        <f t="shared" si="330"/>
        <v>474.17859772099666</v>
      </c>
      <c r="R445">
        <f t="shared" si="331"/>
        <v>1.5686874152032348</v>
      </c>
      <c r="S445">
        <f t="shared" si="332"/>
        <v>2.3191822398321349E-2</v>
      </c>
      <c r="T445">
        <f t="shared" si="333"/>
        <v>-1.5476024248985338</v>
      </c>
      <c r="U445">
        <f t="shared" si="334"/>
        <v>0.99158224095256009</v>
      </c>
      <c r="V445">
        <f t="shared" si="335"/>
        <v>-0.12984294672496133</v>
      </c>
      <c r="X445">
        <f t="shared" si="352"/>
        <v>-26.967161229086187</v>
      </c>
      <c r="Y445">
        <f t="shared" si="336"/>
        <v>-97.150160069207203</v>
      </c>
      <c r="Z445">
        <f t="shared" si="353"/>
        <v>82.849839930792797</v>
      </c>
      <c r="AC445">
        <v>1</v>
      </c>
      <c r="AD445">
        <f t="shared" si="337"/>
        <v>342.24384665394001</v>
      </c>
      <c r="AE445">
        <f t="shared" si="338"/>
        <v>-2.4836906397897713E-3</v>
      </c>
      <c r="AF445">
        <f t="shared" si="339"/>
        <v>1.9020804115351501E-2</v>
      </c>
      <c r="AG445">
        <f t="shared" si="367"/>
        <v>17684.733757246664</v>
      </c>
      <c r="AH445">
        <f t="shared" si="368"/>
        <v>-2361.8038137404765</v>
      </c>
      <c r="AJ445">
        <f t="shared" si="340"/>
        <v>18000</v>
      </c>
      <c r="AK445">
        <f t="shared" si="341"/>
        <v>775926.88897878001</v>
      </c>
      <c r="AL445">
        <v>1</v>
      </c>
      <c r="AM445">
        <f t="shared" si="342"/>
        <v>474.17754326480997</v>
      </c>
      <c r="AN445">
        <f t="shared" si="369"/>
        <v>1636.4364136610404</v>
      </c>
      <c r="AO445">
        <f t="shared" si="370"/>
        <v>-34.509360088359429</v>
      </c>
      <c r="AQ445">
        <f t="shared" si="343"/>
        <v>1.8740274968558504E-3</v>
      </c>
      <c r="AR445">
        <f t="shared" si="344"/>
        <v>-4.3290035177370143</v>
      </c>
      <c r="AT445">
        <f t="shared" si="365"/>
        <v>-10191.115340551563</v>
      </c>
      <c r="AU445">
        <f t="shared" si="366"/>
        <v>-76561.700730652461</v>
      </c>
      <c r="AV445">
        <f t="shared" si="354"/>
        <v>-1.7031282580915419</v>
      </c>
      <c r="AW445">
        <f t="shared" si="355"/>
        <v>41219.485855687439</v>
      </c>
      <c r="AX445">
        <f t="shared" si="356"/>
        <v>-12899.095773295147</v>
      </c>
      <c r="AY445">
        <f t="shared" si="364"/>
        <v>-0.30328279681845133</v>
      </c>
      <c r="BA445">
        <f t="shared" si="345"/>
        <v>1.7882801575474683</v>
      </c>
      <c r="BB445">
        <f t="shared" si="357"/>
        <v>5.0487111543630974</v>
      </c>
      <c r="BC445">
        <f t="shared" si="358"/>
        <v>-1.3998454612730906</v>
      </c>
      <c r="BD445">
        <f t="shared" si="346"/>
        <v>-260.20523699313986</v>
      </c>
      <c r="BF445">
        <f t="shared" si="347"/>
        <v>-42.667283851463118</v>
      </c>
      <c r="BG445">
        <f t="shared" si="348"/>
        <v>-170.95661358909084</v>
      </c>
      <c r="BH445">
        <f t="shared" si="359"/>
        <v>9.0433864109091644</v>
      </c>
      <c r="BI445">
        <f t="shared" si="360"/>
        <v>9.0433864109091644</v>
      </c>
      <c r="BJ445">
        <f t="shared" si="349"/>
        <v>0</v>
      </c>
      <c r="BK445">
        <f t="shared" si="361"/>
        <v>0</v>
      </c>
      <c r="BM445">
        <f t="shared" si="362"/>
        <v>-47.715995005826215</v>
      </c>
      <c r="BN445">
        <f t="shared" si="350"/>
        <v>-90.751376595951001</v>
      </c>
      <c r="BQ445" s="66">
        <f t="shared" si="363"/>
        <v>21.950671954648232</v>
      </c>
    </row>
    <row r="446" spans="1:69" x14ac:dyDescent="0.2">
      <c r="A446">
        <f t="shared" si="372"/>
        <v>1160000</v>
      </c>
      <c r="B446">
        <f t="shared" si="351"/>
        <v>1160</v>
      </c>
      <c r="C446">
        <f t="shared" si="320"/>
        <v>72.163029073578812</v>
      </c>
      <c r="D446">
        <f t="shared" si="321"/>
        <v>1.5569383718183925</v>
      </c>
      <c r="F446">
        <f t="shared" si="322"/>
        <v>3.7837101156570246E-6</v>
      </c>
      <c r="G446">
        <f t="shared" si="323"/>
        <v>8.0047580333536322E-4</v>
      </c>
      <c r="H446">
        <f t="shared" si="324"/>
        <v>-3.1407921741966649</v>
      </c>
      <c r="J446">
        <f t="shared" si="325"/>
        <v>15</v>
      </c>
      <c r="M446">
        <f t="shared" si="326"/>
        <v>2.908188929267082E-3</v>
      </c>
      <c r="N446">
        <f t="shared" si="327"/>
        <v>-1.5707963250000001</v>
      </c>
      <c r="O446">
        <f t="shared" si="328"/>
        <v>343.72687639406456</v>
      </c>
      <c r="P446">
        <f t="shared" si="329"/>
        <v>1.5678870360779349</v>
      </c>
      <c r="Q446">
        <f t="shared" si="330"/>
        <v>476.23130981344696</v>
      </c>
      <c r="R446">
        <f t="shared" si="331"/>
        <v>1.5686965053126276</v>
      </c>
      <c r="S446">
        <f t="shared" si="332"/>
        <v>2.3091911066761103E-2</v>
      </c>
      <c r="T446">
        <f t="shared" si="333"/>
        <v>-1.5477023629944431</v>
      </c>
      <c r="U446">
        <f t="shared" si="334"/>
        <v>0.99151012968431407</v>
      </c>
      <c r="V446">
        <f t="shared" si="335"/>
        <v>-0.13039870068449586</v>
      </c>
      <c r="X446">
        <f t="shared" si="352"/>
        <v>-27.005300910809741</v>
      </c>
      <c r="Y446">
        <f t="shared" si="336"/>
        <v>-97.183247783571417</v>
      </c>
      <c r="Z446">
        <f t="shared" si="353"/>
        <v>82.816752216428583</v>
      </c>
      <c r="AC446">
        <v>1</v>
      </c>
      <c r="AD446">
        <f t="shared" si="337"/>
        <v>343.72542174768006</v>
      </c>
      <c r="AE446">
        <f t="shared" si="338"/>
        <v>-2.5052409999071355E-3</v>
      </c>
      <c r="AF446">
        <f t="shared" si="339"/>
        <v>1.9103145258708001E-2</v>
      </c>
      <c r="AG446">
        <f t="shared" si="367"/>
        <v>17682.161661547081</v>
      </c>
      <c r="AH446">
        <f t="shared" si="368"/>
        <v>-2371.2365554486428</v>
      </c>
      <c r="AJ446">
        <f t="shared" si="340"/>
        <v>18000</v>
      </c>
      <c r="AK446">
        <f t="shared" si="341"/>
        <v>779285.87984015991</v>
      </c>
      <c r="AL446">
        <v>1</v>
      </c>
      <c r="AM446">
        <f t="shared" si="342"/>
        <v>476.23025990232003</v>
      </c>
      <c r="AN446">
        <f t="shared" si="369"/>
        <v>1636.4357876254398</v>
      </c>
      <c r="AO446">
        <f t="shared" si="370"/>
        <v>-34.360614161164193</v>
      </c>
      <c r="AQ446">
        <f t="shared" si="343"/>
        <v>1.8579069080880447E-3</v>
      </c>
      <c r="AR446">
        <f t="shared" si="344"/>
        <v>-4.3103440267642634</v>
      </c>
      <c r="AT446">
        <f t="shared" si="365"/>
        <v>-10187.993512522207</v>
      </c>
      <c r="AU446">
        <f t="shared" si="366"/>
        <v>-76220.605434906596</v>
      </c>
      <c r="AV446">
        <f t="shared" si="354"/>
        <v>-1.7036732837402895</v>
      </c>
      <c r="AW446">
        <f t="shared" si="355"/>
        <v>41214.968880191111</v>
      </c>
      <c r="AX446">
        <f t="shared" si="356"/>
        <v>-12887.554539219687</v>
      </c>
      <c r="AY446">
        <f t="shared" si="364"/>
        <v>-0.30305897002130994</v>
      </c>
      <c r="BA446">
        <f t="shared" si="345"/>
        <v>1.7807623064175715</v>
      </c>
      <c r="BB446">
        <f t="shared" si="357"/>
        <v>5.012119086621909</v>
      </c>
      <c r="BC446">
        <f t="shared" si="358"/>
        <v>-1.4006143137189795</v>
      </c>
      <c r="BD446">
        <f t="shared" si="346"/>
        <v>-260.24928899340796</v>
      </c>
      <c r="BF446">
        <f t="shared" si="347"/>
        <v>-42.741403518825976</v>
      </c>
      <c r="BG446">
        <f t="shared" si="348"/>
        <v>-170.99742733912535</v>
      </c>
      <c r="BH446">
        <f t="shared" si="359"/>
        <v>9.0025726608746481</v>
      </c>
      <c r="BI446">
        <f t="shared" si="360"/>
        <v>9.0025726608746481</v>
      </c>
      <c r="BJ446">
        <f t="shared" si="349"/>
        <v>0</v>
      </c>
      <c r="BK446">
        <f t="shared" si="361"/>
        <v>0</v>
      </c>
      <c r="BM446">
        <f t="shared" si="362"/>
        <v>-47.753522605447884</v>
      </c>
      <c r="BN446">
        <f t="shared" si="350"/>
        <v>-90.748138345717422</v>
      </c>
      <c r="BQ446" s="66">
        <f t="shared" si="363"/>
        <v>21.914079886907047</v>
      </c>
    </row>
    <row r="447" spans="1:69" x14ac:dyDescent="0.2">
      <c r="A447">
        <f t="shared" si="372"/>
        <v>1165000</v>
      </c>
      <c r="B447">
        <f t="shared" si="351"/>
        <v>1165</v>
      </c>
      <c r="C447">
        <f t="shared" si="320"/>
        <v>72.474017010189229</v>
      </c>
      <c r="D447">
        <f t="shared" si="321"/>
        <v>1.5569978404545872</v>
      </c>
      <c r="F447">
        <f t="shared" si="322"/>
        <v>3.751301500633905E-6</v>
      </c>
      <c r="G447">
        <f t="shared" si="323"/>
        <v>7.9704026027445254E-4</v>
      </c>
      <c r="H447">
        <f t="shared" si="324"/>
        <v>-3.1407956097397256</v>
      </c>
      <c r="J447">
        <f t="shared" si="325"/>
        <v>15</v>
      </c>
      <c r="M447">
        <f t="shared" si="326"/>
        <v>2.8957074317165796E-3</v>
      </c>
      <c r="N447">
        <f t="shared" si="327"/>
        <v>-1.5707963250000001</v>
      </c>
      <c r="O447">
        <f t="shared" si="328"/>
        <v>345.20844524471329</v>
      </c>
      <c r="P447">
        <f t="shared" si="329"/>
        <v>1.5678995222341856</v>
      </c>
      <c r="Q447">
        <f t="shared" si="330"/>
        <v>478.28402194491048</v>
      </c>
      <c r="R447">
        <f t="shared" si="331"/>
        <v>1.5687055173956728</v>
      </c>
      <c r="S447">
        <f t="shared" si="332"/>
        <v>2.2992856660168679E-2</v>
      </c>
      <c r="T447">
        <f t="shared" si="333"/>
        <v>-1.5478014437080929</v>
      </c>
      <c r="U447">
        <f t="shared" si="334"/>
        <v>0.9914377227526211</v>
      </c>
      <c r="V447">
        <f t="shared" si="335"/>
        <v>-0.13095437364563531</v>
      </c>
      <c r="X447">
        <f t="shared" si="352"/>
        <v>-27.043282006977947</v>
      </c>
      <c r="Y447">
        <f t="shared" si="336"/>
        <v>-97.216320187667051</v>
      </c>
      <c r="Z447">
        <f t="shared" si="353"/>
        <v>82.783679812332949</v>
      </c>
      <c r="AC447">
        <v>1</v>
      </c>
      <c r="AD447">
        <f t="shared" si="337"/>
        <v>345.20699684142005</v>
      </c>
      <c r="AE447">
        <f t="shared" si="338"/>
        <v>-2.5268844501329978E-3</v>
      </c>
      <c r="AF447">
        <f t="shared" si="339"/>
        <v>1.9185486402064501E-2</v>
      </c>
      <c r="AG447">
        <f t="shared" si="367"/>
        <v>17679.579208207084</v>
      </c>
      <c r="AH447">
        <f t="shared" si="368"/>
        <v>-2380.6669702780246</v>
      </c>
      <c r="AJ447">
        <f t="shared" si="340"/>
        <v>18000</v>
      </c>
      <c r="AK447">
        <f t="shared" si="341"/>
        <v>782644.87070154003</v>
      </c>
      <c r="AL447">
        <v>1</v>
      </c>
      <c r="AM447">
        <f t="shared" si="342"/>
        <v>478.28297653983003</v>
      </c>
      <c r="AN447">
        <f t="shared" si="369"/>
        <v>1636.4351696330277</v>
      </c>
      <c r="AO447">
        <f t="shared" si="370"/>
        <v>-34.213145006226796</v>
      </c>
      <c r="AQ447">
        <f t="shared" si="343"/>
        <v>1.8419934347669998E-3</v>
      </c>
      <c r="AR447">
        <f t="shared" si="344"/>
        <v>-4.2918447030071096</v>
      </c>
      <c r="AT447">
        <f t="shared" si="365"/>
        <v>-10184.887257180762</v>
      </c>
      <c r="AU447">
        <f t="shared" si="366"/>
        <v>-75882.393549067812</v>
      </c>
      <c r="AV447">
        <f t="shared" si="354"/>
        <v>-1.7042183204782384</v>
      </c>
      <c r="AW447">
        <f t="shared" si="355"/>
        <v>41210.4124296726</v>
      </c>
      <c r="AX447">
        <f t="shared" si="356"/>
        <v>-12876.289084228689</v>
      </c>
      <c r="AY447">
        <f t="shared" si="364"/>
        <v>-0.30284143226356225</v>
      </c>
      <c r="BA447">
        <f t="shared" si="345"/>
        <v>1.7733066068976919</v>
      </c>
      <c r="BB447">
        <f t="shared" si="357"/>
        <v>4.9756766428875467</v>
      </c>
      <c r="BC447">
        <f t="shared" si="358"/>
        <v>-1.4013768882146762</v>
      </c>
      <c r="BD447">
        <f t="shared" si="346"/>
        <v>-260.29298129362559</v>
      </c>
      <c r="BF447">
        <f t="shared" si="347"/>
        <v>-42.81521208856649</v>
      </c>
      <c r="BG447">
        <f t="shared" si="348"/>
        <v>-171.03790917958969</v>
      </c>
      <c r="BH447">
        <f t="shared" si="359"/>
        <v>8.9620908204103102</v>
      </c>
      <c r="BI447">
        <f t="shared" si="360"/>
        <v>8.9620908204103102</v>
      </c>
      <c r="BJ447">
        <f t="shared" si="349"/>
        <v>0</v>
      </c>
      <c r="BK447">
        <f t="shared" si="361"/>
        <v>0</v>
      </c>
      <c r="BM447">
        <f t="shared" si="362"/>
        <v>-47.790888731454039</v>
      </c>
      <c r="BN447">
        <f t="shared" si="350"/>
        <v>-90.744927885964117</v>
      </c>
      <c r="BQ447" s="66">
        <f t="shared" si="363"/>
        <v>21.877637443172688</v>
      </c>
    </row>
    <row r="448" spans="1:69" x14ac:dyDescent="0.2">
      <c r="A448">
        <f t="shared" si="372"/>
        <v>1170000</v>
      </c>
      <c r="B448">
        <f t="shared" si="351"/>
        <v>1170</v>
      </c>
      <c r="C448">
        <f t="shared" si="320"/>
        <v>72.785005200915109</v>
      </c>
      <c r="D448">
        <f t="shared" si="321"/>
        <v>1.5570568009081971</v>
      </c>
      <c r="F448">
        <f t="shared" si="322"/>
        <v>3.7193074941322777E-6</v>
      </c>
      <c r="G448">
        <f t="shared" si="323"/>
        <v>7.9363408114270723E-4</v>
      </c>
      <c r="H448">
        <f t="shared" si="324"/>
        <v>-3.1407990159188577</v>
      </c>
      <c r="J448">
        <f t="shared" si="325"/>
        <v>15</v>
      </c>
      <c r="M448">
        <f t="shared" si="326"/>
        <v>2.8833326136323209E-3</v>
      </c>
      <c r="N448">
        <f t="shared" si="327"/>
        <v>-1.5707963250000001</v>
      </c>
      <c r="O448">
        <f t="shared" si="328"/>
        <v>346.69001414872139</v>
      </c>
      <c r="P448">
        <f t="shared" si="329"/>
        <v>1.567911901672044</v>
      </c>
      <c r="Q448">
        <f t="shared" si="330"/>
        <v>480.33673411488712</v>
      </c>
      <c r="R448">
        <f t="shared" si="331"/>
        <v>1.5687144524527024</v>
      </c>
      <c r="S448">
        <f t="shared" si="332"/>
        <v>2.2894648203919839E-2</v>
      </c>
      <c r="T448">
        <f t="shared" si="333"/>
        <v>-1.5478996780238317</v>
      </c>
      <c r="U448">
        <f t="shared" si="334"/>
        <v>0.99136502035637952</v>
      </c>
      <c r="V448">
        <f t="shared" si="335"/>
        <v>-0.13150996528300829</v>
      </c>
      <c r="X448">
        <f t="shared" si="352"/>
        <v>-27.081105896024546</v>
      </c>
      <c r="Y448">
        <f t="shared" si="336"/>
        <v>-97.249377399293238</v>
      </c>
      <c r="Z448">
        <f t="shared" si="353"/>
        <v>82.750622600706762</v>
      </c>
      <c r="AC448">
        <v>1</v>
      </c>
      <c r="AD448">
        <f t="shared" si="337"/>
        <v>346.68857193516004</v>
      </c>
      <c r="AE448">
        <f t="shared" si="338"/>
        <v>-2.5486209904673589E-3</v>
      </c>
      <c r="AF448">
        <f t="shared" si="339"/>
        <v>1.9267827545421001E-2</v>
      </c>
      <c r="AG448">
        <f t="shared" si="367"/>
        <v>17676.986406630069</v>
      </c>
      <c r="AH448">
        <f t="shared" si="368"/>
        <v>-2390.0950169697676</v>
      </c>
      <c r="AJ448">
        <f t="shared" si="340"/>
        <v>18000</v>
      </c>
      <c r="AK448">
        <f t="shared" si="341"/>
        <v>786003.86156291992</v>
      </c>
      <c r="AL448">
        <v>1</v>
      </c>
      <c r="AM448">
        <f t="shared" si="342"/>
        <v>480.33569317733992</v>
      </c>
      <c r="AN448">
        <f t="shared" si="369"/>
        <v>1636.4345595466079</v>
      </c>
      <c r="AO448">
        <f t="shared" si="370"/>
        <v>-34.066936254957767</v>
      </c>
      <c r="AQ448">
        <f t="shared" si="343"/>
        <v>1.8262835440347096E-3</v>
      </c>
      <c r="AR448">
        <f t="shared" si="344"/>
        <v>-4.2735034930412201</v>
      </c>
      <c r="AT448">
        <f t="shared" si="365"/>
        <v>-10181.796214338163</v>
      </c>
      <c r="AU448">
        <f t="shared" si="366"/>
        <v>-75547.028146373937</v>
      </c>
      <c r="AV448">
        <f t="shared" si="354"/>
        <v>-1.7047633667994224</v>
      </c>
      <c r="AW448">
        <f t="shared" si="355"/>
        <v>41205.816801687353</v>
      </c>
      <c r="AX448">
        <f t="shared" si="356"/>
        <v>-12865.295712278294</v>
      </c>
      <c r="AY448">
        <f t="shared" si="364"/>
        <v>-0.30263010382547717</v>
      </c>
      <c r="BA448">
        <f t="shared" si="345"/>
        <v>1.7659123013779729</v>
      </c>
      <c r="BB448">
        <f t="shared" si="357"/>
        <v>4.939382637454564</v>
      </c>
      <c r="BC448">
        <f t="shared" si="358"/>
        <v>-1.4021332629739454</v>
      </c>
      <c r="BD448">
        <f t="shared" si="346"/>
        <v>-260.33631837511149</v>
      </c>
      <c r="BF448">
        <f t="shared" si="347"/>
        <v>-42.888712130286052</v>
      </c>
      <c r="BG448">
        <f t="shared" si="348"/>
        <v>-171.07806323561044</v>
      </c>
      <c r="BH448">
        <f t="shared" si="359"/>
        <v>8.9219367643895566</v>
      </c>
      <c r="BI448">
        <f t="shared" si="360"/>
        <v>8.9219367643895566</v>
      </c>
      <c r="BJ448">
        <f t="shared" si="349"/>
        <v>0</v>
      </c>
      <c r="BK448">
        <f t="shared" si="361"/>
        <v>0</v>
      </c>
      <c r="BM448">
        <f t="shared" si="362"/>
        <v>-47.828094767740616</v>
      </c>
      <c r="BN448">
        <f t="shared" si="350"/>
        <v>-90.741744860498983</v>
      </c>
      <c r="BQ448" s="66">
        <f t="shared" si="363"/>
        <v>21.841343437739699</v>
      </c>
    </row>
    <row r="449" spans="1:69" x14ac:dyDescent="0.2">
      <c r="A449">
        <f t="shared" si="372"/>
        <v>1175000</v>
      </c>
      <c r="B449">
        <f t="shared" si="351"/>
        <v>1175</v>
      </c>
      <c r="C449">
        <f t="shared" si="320"/>
        <v>73.095993642513079</v>
      </c>
      <c r="D449">
        <f t="shared" si="321"/>
        <v>1.5571152596650302</v>
      </c>
      <c r="F449">
        <f t="shared" si="322"/>
        <v>3.6877210539823912E-6</v>
      </c>
      <c r="G449">
        <f t="shared" si="323"/>
        <v>7.9025689107615951E-4</v>
      </c>
      <c r="H449">
        <f t="shared" si="324"/>
        <v>-3.140802393108924</v>
      </c>
      <c r="J449">
        <f t="shared" si="325"/>
        <v>15</v>
      </c>
      <c r="M449">
        <f t="shared" si="326"/>
        <v>2.8710631131487791E-3</v>
      </c>
      <c r="N449">
        <f t="shared" si="327"/>
        <v>-1.5707963250000001</v>
      </c>
      <c r="O449">
        <f t="shared" si="328"/>
        <v>348.17158310540776</v>
      </c>
      <c r="P449">
        <f t="shared" si="329"/>
        <v>1.5679241757538571</v>
      </c>
      <c r="Q449">
        <f t="shared" si="330"/>
        <v>482.38944632288519</v>
      </c>
      <c r="R449">
        <f t="shared" si="331"/>
        <v>1.5687233114670216</v>
      </c>
      <c r="S449">
        <f t="shared" si="332"/>
        <v>2.2797274909947551E-2</v>
      </c>
      <c r="T449">
        <f t="shared" si="333"/>
        <v>-1.5479970767392035</v>
      </c>
      <c r="U449">
        <f t="shared" si="334"/>
        <v>0.99129202269522032</v>
      </c>
      <c r="V449">
        <f t="shared" si="335"/>
        <v>-0.13206547527153947</v>
      </c>
      <c r="X449">
        <f t="shared" si="352"/>
        <v>-27.118773938751541</v>
      </c>
      <c r="Y449">
        <f t="shared" si="336"/>
        <v>-97.282419533950858</v>
      </c>
      <c r="Z449">
        <f t="shared" si="353"/>
        <v>82.717580466049142</v>
      </c>
      <c r="AC449">
        <v>1</v>
      </c>
      <c r="AD449">
        <f t="shared" si="337"/>
        <v>348.17014702890003</v>
      </c>
      <c r="AE449">
        <f t="shared" si="338"/>
        <v>-2.5704506209102171E-3</v>
      </c>
      <c r="AF449">
        <f t="shared" si="339"/>
        <v>1.9350168688777501E-2</v>
      </c>
      <c r="AG449">
        <f t="shared" si="367"/>
        <v>17674.383266252931</v>
      </c>
      <c r="AH449">
        <f t="shared" si="368"/>
        <v>-2399.520654715202</v>
      </c>
      <c r="AJ449">
        <f t="shared" si="340"/>
        <v>18000</v>
      </c>
      <c r="AK449">
        <f t="shared" si="341"/>
        <v>789362.85242429993</v>
      </c>
      <c r="AL449">
        <v>1</v>
      </c>
      <c r="AM449">
        <f t="shared" si="342"/>
        <v>482.38840981484998</v>
      </c>
      <c r="AN449">
        <f t="shared" si="369"/>
        <v>1636.4339572318977</v>
      </c>
      <c r="AO449">
        <f t="shared" si="370"/>
        <v>-33.921971817375869</v>
      </c>
      <c r="AQ449">
        <f t="shared" si="343"/>
        <v>1.8107737780400583E-3</v>
      </c>
      <c r="AR449">
        <f t="shared" si="344"/>
        <v>-4.2553183783941373</v>
      </c>
      <c r="AT449">
        <f t="shared" si="365"/>
        <v>-10178.720031584371</v>
      </c>
      <c r="AU449">
        <f t="shared" si="366"/>
        <v>-75214.472928749325</v>
      </c>
      <c r="AV449">
        <f t="shared" si="354"/>
        <v>-1.7053084212182665</v>
      </c>
      <c r="AW449">
        <f t="shared" si="355"/>
        <v>41201.182287997231</v>
      </c>
      <c r="AX449">
        <f t="shared" si="356"/>
        <v>-12854.570789684607</v>
      </c>
      <c r="AY449">
        <f t="shared" si="364"/>
        <v>-0.30242490629232266</v>
      </c>
      <c r="BA449">
        <f t="shared" si="345"/>
        <v>1.7585786443444131</v>
      </c>
      <c r="BB449">
        <f t="shared" si="357"/>
        <v>4.9032358982237643</v>
      </c>
      <c r="BC449">
        <f t="shared" si="358"/>
        <v>-1.4028835149259438</v>
      </c>
      <c r="BD449">
        <f t="shared" si="346"/>
        <v>-260.37930464558156</v>
      </c>
      <c r="BF449">
        <f t="shared" si="347"/>
        <v>-42.961906182261359</v>
      </c>
      <c r="BG449">
        <f t="shared" si="348"/>
        <v>-171.1178935647722</v>
      </c>
      <c r="BH449">
        <f t="shared" si="359"/>
        <v>8.8821064352277972</v>
      </c>
      <c r="BI449">
        <f t="shared" si="360"/>
        <v>8.8821064352277972</v>
      </c>
      <c r="BJ449">
        <f t="shared" si="349"/>
        <v>0</v>
      </c>
      <c r="BK449">
        <f t="shared" si="361"/>
        <v>0</v>
      </c>
      <c r="BM449">
        <f t="shared" si="362"/>
        <v>-47.865142080485121</v>
      </c>
      <c r="BN449">
        <f t="shared" si="350"/>
        <v>-90.738588919190676</v>
      </c>
      <c r="BQ449" s="66">
        <f t="shared" si="363"/>
        <v>21.805196698508901</v>
      </c>
    </row>
    <row r="450" spans="1:69" x14ac:dyDescent="0.2">
      <c r="A450">
        <f t="shared" si="372"/>
        <v>1180000</v>
      </c>
      <c r="B450">
        <f t="shared" si="351"/>
        <v>1180</v>
      </c>
      <c r="C450">
        <f t="shared" si="320"/>
        <v>73.406982331794651</v>
      </c>
      <c r="D450">
        <f t="shared" si="321"/>
        <v>1.5571732231009994</v>
      </c>
      <c r="F450">
        <f t="shared" si="322"/>
        <v>3.6565352868972429E-6</v>
      </c>
      <c r="G450">
        <f t="shared" si="323"/>
        <v>7.8690832156457879E-4</v>
      </c>
      <c r="H450">
        <f t="shared" si="324"/>
        <v>-3.1408057416784358</v>
      </c>
      <c r="J450">
        <f t="shared" si="325"/>
        <v>15</v>
      </c>
      <c r="M450">
        <f t="shared" si="326"/>
        <v>2.8588975914828943E-3</v>
      </c>
      <c r="N450">
        <f t="shared" si="327"/>
        <v>-1.5707963250000001</v>
      </c>
      <c r="O450">
        <f t="shared" si="328"/>
        <v>349.65315211410274</v>
      </c>
      <c r="P450">
        <f t="shared" si="329"/>
        <v>1.5679363458188822</v>
      </c>
      <c r="Q450">
        <f t="shared" si="330"/>
        <v>484.44215856842135</v>
      </c>
      <c r="R450">
        <f t="shared" si="331"/>
        <v>1.5687320954052697</v>
      </c>
      <c r="S450">
        <f t="shared" si="332"/>
        <v>2.2700726172795688E-2</v>
      </c>
      <c r="T450">
        <f t="shared" si="333"/>
        <v>-1.5480936504689016</v>
      </c>
      <c r="U450">
        <f t="shared" si="334"/>
        <v>0.99121872996950688</v>
      </c>
      <c r="V450">
        <f t="shared" si="335"/>
        <v>-0.13262090328645063</v>
      </c>
      <c r="X450">
        <f t="shared" si="352"/>
        <v>-27.156287478628151</v>
      </c>
      <c r="Y450">
        <f t="shared" si="336"/>
        <v>-97.315446704891741</v>
      </c>
      <c r="Z450">
        <f t="shared" si="353"/>
        <v>82.684553295108259</v>
      </c>
      <c r="AC450">
        <v>1</v>
      </c>
      <c r="AD450">
        <f t="shared" si="337"/>
        <v>349.65172212264002</v>
      </c>
      <c r="AE450">
        <f t="shared" si="338"/>
        <v>-2.5923733414615745E-3</v>
      </c>
      <c r="AF450">
        <f t="shared" si="339"/>
        <v>1.9432509832134001E-2</v>
      </c>
      <c r="AG450">
        <f t="shared" si="367"/>
        <v>17671.769796545952</v>
      </c>
      <c r="AH450">
        <f t="shared" si="368"/>
        <v>-2408.9438431469389</v>
      </c>
      <c r="AJ450">
        <f t="shared" si="340"/>
        <v>18000</v>
      </c>
      <c r="AK450">
        <f t="shared" si="341"/>
        <v>792721.84328568005</v>
      </c>
      <c r="AL450">
        <v>1</v>
      </c>
      <c r="AM450">
        <f t="shared" si="342"/>
        <v>484.44112645235998</v>
      </c>
      <c r="AN450">
        <f t="shared" si="369"/>
        <v>1636.4333625574538</v>
      </c>
      <c r="AO450">
        <f t="shared" si="370"/>
        <v>-33.778235876205578</v>
      </c>
      <c r="AQ450">
        <f t="shared" si="343"/>
        <v>1.7954607520359179E-3</v>
      </c>
      <c r="AR450">
        <f t="shared" si="344"/>
        <v>-4.2372873748047661</v>
      </c>
      <c r="AT450">
        <f t="shared" si="365"/>
        <v>-10175.658364091485</v>
      </c>
      <c r="AU450">
        <f t="shared" si="366"/>
        <v>-74884.692213484581</v>
      </c>
      <c r="AV450">
        <f t="shared" si="354"/>
        <v>-1.7058534822691618</v>
      </c>
      <c r="AW450">
        <f t="shared" si="355"/>
        <v>41196.509174719067</v>
      </c>
      <c r="AX450">
        <f t="shared" si="356"/>
        <v>-12844.110743803547</v>
      </c>
      <c r="AY450">
        <f t="shared" si="364"/>
        <v>-0.30222576252786648</v>
      </c>
      <c r="BA450">
        <f t="shared" si="345"/>
        <v>1.7513049021419709</v>
      </c>
      <c r="BB450">
        <f t="shared" si="357"/>
        <v>4.8672352665025436</v>
      </c>
      <c r="BC450">
        <f t="shared" si="358"/>
        <v>-1.4036277197412952</v>
      </c>
      <c r="BD450">
        <f t="shared" si="346"/>
        <v>-260.42194444064324</v>
      </c>
      <c r="BF450">
        <f t="shared" si="347"/>
        <v>-43.034796751945422</v>
      </c>
      <c r="BG450">
        <f t="shared" si="348"/>
        <v>-171.15740415848364</v>
      </c>
      <c r="BH450">
        <f t="shared" si="359"/>
        <v>8.8425958415163564</v>
      </c>
      <c r="BI450">
        <f t="shared" si="360"/>
        <v>8.8425958415163564</v>
      </c>
      <c r="BJ450">
        <f t="shared" si="349"/>
        <v>0</v>
      </c>
      <c r="BK450">
        <f t="shared" si="361"/>
        <v>0</v>
      </c>
      <c r="BM450">
        <f t="shared" si="362"/>
        <v>-47.902032018447969</v>
      </c>
      <c r="BN450">
        <f t="shared" si="350"/>
        <v>-90.735459717840413</v>
      </c>
      <c r="BQ450" s="66">
        <f t="shared" si="363"/>
        <v>21.769196066787678</v>
      </c>
    </row>
    <row r="451" spans="1:69" x14ac:dyDescent="0.2">
      <c r="A451">
        <f t="shared" si="372"/>
        <v>1185000</v>
      </c>
      <c r="B451">
        <f t="shared" si="351"/>
        <v>1185</v>
      </c>
      <c r="C451">
        <f t="shared" si="320"/>
        <v>73.717971265625167</v>
      </c>
      <c r="D451">
        <f t="shared" si="321"/>
        <v>1.5572306974844412</v>
      </c>
      <c r="F451">
        <f t="shared" si="322"/>
        <v>3.6257434447113428E-6</v>
      </c>
      <c r="G451">
        <f t="shared" si="323"/>
        <v>7.8358801031742551E-4</v>
      </c>
      <c r="H451">
        <f t="shared" si="324"/>
        <v>-3.1408090619896827</v>
      </c>
      <c r="J451">
        <f t="shared" si="325"/>
        <v>15</v>
      </c>
      <c r="M451">
        <f t="shared" si="326"/>
        <v>2.8468347324471016E-3</v>
      </c>
      <c r="N451">
        <f t="shared" si="327"/>
        <v>-1.5707963250000001</v>
      </c>
      <c r="O451">
        <f t="shared" si="328"/>
        <v>351.13472117414801</v>
      </c>
      <c r="P451">
        <f t="shared" si="329"/>
        <v>1.5679484131837731</v>
      </c>
      <c r="Q451">
        <f t="shared" si="330"/>
        <v>486.49487085102044</v>
      </c>
      <c r="R451">
        <f t="shared" si="331"/>
        <v>1.5687408052177712</v>
      </c>
      <c r="S451">
        <f t="shared" si="332"/>
        <v>2.2604991565772486E-2</v>
      </c>
      <c r="T451">
        <f t="shared" si="333"/>
        <v>-1.5481894096486222</v>
      </c>
      <c r="U451">
        <f t="shared" si="334"/>
        <v>0.99114514238033191</v>
      </c>
      <c r="V451">
        <f t="shared" si="335"/>
        <v>-0.13317624900326167</v>
      </c>
      <c r="X451">
        <f t="shared" si="352"/>
        <v>-27.193647842083429</v>
      </c>
      <c r="Y451">
        <f t="shared" si="336"/>
        <v>-97.348459023166029</v>
      </c>
      <c r="Z451">
        <f t="shared" si="353"/>
        <v>82.651540976833971</v>
      </c>
      <c r="AC451">
        <v>1</v>
      </c>
      <c r="AD451">
        <f t="shared" si="337"/>
        <v>351.13329721638007</v>
      </c>
      <c r="AE451">
        <f t="shared" si="338"/>
        <v>-2.6143891521214304E-3</v>
      </c>
      <c r="AF451">
        <f t="shared" si="339"/>
        <v>1.9514850975490501E-2</v>
      </c>
      <c r="AG451">
        <f t="shared" si="367"/>
        <v>17669.146007012754</v>
      </c>
      <c r="AH451">
        <f t="shared" si="368"/>
        <v>-2418.3645423301837</v>
      </c>
      <c r="AJ451">
        <f t="shared" si="340"/>
        <v>18000</v>
      </c>
      <c r="AK451">
        <f t="shared" si="341"/>
        <v>796080.83414705994</v>
      </c>
      <c r="AL451">
        <v>1</v>
      </c>
      <c r="AM451">
        <f t="shared" si="342"/>
        <v>486.49384308986998</v>
      </c>
      <c r="AN451">
        <f t="shared" si="369"/>
        <v>1636.4327753946002</v>
      </c>
      <c r="AO451">
        <f t="shared" si="370"/>
        <v>-33.635712881123879</v>
      </c>
      <c r="AQ451">
        <f t="shared" si="343"/>
        <v>1.7803411525323305E-3</v>
      </c>
      <c r="AR451">
        <f t="shared" si="344"/>
        <v>-4.2194085315016236</v>
      </c>
      <c r="AT451">
        <f t="shared" si="365"/>
        <v>-10172.610874422609</v>
      </c>
      <c r="AU451">
        <f t="shared" si="366"/>
        <v>-74557.650920254004</v>
      </c>
      <c r="AV451">
        <f t="shared" si="354"/>
        <v>-1.7063985485060515</v>
      </c>
      <c r="AW451">
        <f t="shared" si="355"/>
        <v>41191.797742469098</v>
      </c>
      <c r="AX451">
        <f t="shared" si="356"/>
        <v>-12833.912061744133</v>
      </c>
      <c r="AY451">
        <f t="shared" si="364"/>
        <v>-0.30203259664851384</v>
      </c>
      <c r="BA451">
        <f t="shared" si="345"/>
        <v>1.7440903527431271</v>
      </c>
      <c r="BB451">
        <f t="shared" si="357"/>
        <v>4.8313795968087145</v>
      </c>
      <c r="BC451">
        <f t="shared" si="358"/>
        <v>-1.4043659518575378</v>
      </c>
      <c r="BD451">
        <f t="shared" si="346"/>
        <v>-260.46424202525327</v>
      </c>
      <c r="BF451">
        <f t="shared" si="347"/>
        <v>-43.10738631645853</v>
      </c>
      <c r="BG451">
        <f t="shared" si="348"/>
        <v>-171.19659894330991</v>
      </c>
      <c r="BH451">
        <f t="shared" si="359"/>
        <v>8.8034010566900918</v>
      </c>
      <c r="BI451">
        <f t="shared" si="360"/>
        <v>8.8034010566900918</v>
      </c>
      <c r="BJ451">
        <f t="shared" si="349"/>
        <v>0</v>
      </c>
      <c r="BK451">
        <f t="shared" si="361"/>
        <v>0</v>
      </c>
      <c r="BM451">
        <f t="shared" si="362"/>
        <v>-47.938765913267247</v>
      </c>
      <c r="BN451">
        <f t="shared" si="350"/>
        <v>-90.732356918056652</v>
      </c>
      <c r="BQ451" s="66">
        <f t="shared" si="363"/>
        <v>21.733340397093851</v>
      </c>
    </row>
    <row r="452" spans="1:69" x14ac:dyDescent="0.2">
      <c r="A452">
        <f t="shared" si="372"/>
        <v>1190000</v>
      </c>
      <c r="B452">
        <f t="shared" si="351"/>
        <v>1190</v>
      </c>
      <c r="C452">
        <f t="shared" si="320"/>
        <v>74.028960440922674</v>
      </c>
      <c r="D452">
        <f t="shared" si="321"/>
        <v>1.5572876889783738</v>
      </c>
      <c r="F452">
        <f t="shared" si="322"/>
        <v>3.5953389207298598E-6</v>
      </c>
      <c r="G452">
        <f t="shared" si="323"/>
        <v>7.8029560113318085E-4</v>
      </c>
      <c r="H452">
        <f t="shared" si="324"/>
        <v>-3.1408123543988671</v>
      </c>
      <c r="J452">
        <f t="shared" si="325"/>
        <v>15</v>
      </c>
      <c r="M452">
        <f t="shared" si="326"/>
        <v>2.8348732419746351E-3</v>
      </c>
      <c r="N452">
        <f t="shared" si="327"/>
        <v>-1.5707963250000001</v>
      </c>
      <c r="O452">
        <f t="shared" si="328"/>
        <v>352.61629028489631</v>
      </c>
      <c r="P452">
        <f t="shared" si="329"/>
        <v>1.5679603791430554</v>
      </c>
      <c r="Q452">
        <f t="shared" si="330"/>
        <v>488.54758317021538</v>
      </c>
      <c r="R452">
        <f t="shared" si="331"/>
        <v>1.5687494418388788</v>
      </c>
      <c r="S452">
        <f t="shared" si="332"/>
        <v>2.2510060837200703E-2</v>
      </c>
      <c r="T452">
        <f t="shared" si="333"/>
        <v>-1.5482843645388211</v>
      </c>
      <c r="U452">
        <f t="shared" si="334"/>
        <v>0.9910712601295173</v>
      </c>
      <c r="V452">
        <f t="shared" si="335"/>
        <v>-0.13373151209779172</v>
      </c>
      <c r="X452">
        <f t="shared" si="352"/>
        <v>-27.230856338792751</v>
      </c>
      <c r="Y452">
        <f t="shared" si="336"/>
        <v>-97.381456597669001</v>
      </c>
      <c r="Z452">
        <f t="shared" si="353"/>
        <v>82.618543402330999</v>
      </c>
      <c r="AC452">
        <v>1</v>
      </c>
      <c r="AD452">
        <f t="shared" si="337"/>
        <v>352.61487231012006</v>
      </c>
      <c r="AE452">
        <f t="shared" si="338"/>
        <v>-2.6364980528897843E-3</v>
      </c>
      <c r="AF452">
        <f t="shared" si="339"/>
        <v>1.9597192118847001E-2</v>
      </c>
      <c r="AG452">
        <f t="shared" si="367"/>
        <v>17666.511907190172</v>
      </c>
      <c r="AH452">
        <f t="shared" si="368"/>
        <v>-2427.7827127542755</v>
      </c>
      <c r="AJ452">
        <f t="shared" si="340"/>
        <v>18000</v>
      </c>
      <c r="AK452">
        <f t="shared" si="341"/>
        <v>799439.82500843995</v>
      </c>
      <c r="AL452">
        <v>1</v>
      </c>
      <c r="AM452">
        <f t="shared" si="342"/>
        <v>488.54655972737999</v>
      </c>
      <c r="AN452">
        <f t="shared" si="369"/>
        <v>1636.4321956173576</v>
      </c>
      <c r="AO452">
        <f t="shared" si="370"/>
        <v>-33.494387543152243</v>
      </c>
      <c r="AQ452">
        <f t="shared" si="343"/>
        <v>1.7654117355038954E-3</v>
      </c>
      <c r="AR452">
        <f t="shared" si="344"/>
        <v>-4.2016799304992709</v>
      </c>
      <c r="AT452">
        <f t="shared" si="365"/>
        <v>-10169.577232346342</v>
      </c>
      <c r="AU452">
        <f t="shared" si="366"/>
        <v>-74233.314558459693</v>
      </c>
      <c r="AV452">
        <f t="shared" si="354"/>
        <v>-1.7069436185020281</v>
      </c>
      <c r="AW452">
        <f t="shared" si="355"/>
        <v>41187.048266502978</v>
      </c>
      <c r="AX452">
        <f t="shared" si="356"/>
        <v>-12823.971289114212</v>
      </c>
      <c r="AY452">
        <f t="shared" si="364"/>
        <v>-0.30184533399806757</v>
      </c>
      <c r="BA452">
        <f t="shared" si="345"/>
        <v>1.7369342855217496</v>
      </c>
      <c r="BB452">
        <f t="shared" si="357"/>
        <v>4.7956677566776857</v>
      </c>
      <c r="BC452">
        <f t="shared" si="358"/>
        <v>-1.4050982845039606</v>
      </c>
      <c r="BD452">
        <f t="shared" si="346"/>
        <v>-260.50620159514091</v>
      </c>
      <c r="BF452">
        <f t="shared" si="347"/>
        <v>-43.179677323069747</v>
      </c>
      <c r="BG452">
        <f t="shared" si="348"/>
        <v>-171.23548178227423</v>
      </c>
      <c r="BH452">
        <f t="shared" si="359"/>
        <v>8.7645182177257652</v>
      </c>
      <c r="BI452">
        <f t="shared" si="360"/>
        <v>8.7645182177257652</v>
      </c>
      <c r="BJ452">
        <f t="shared" si="349"/>
        <v>0</v>
      </c>
      <c r="BK452">
        <f t="shared" si="361"/>
        <v>0</v>
      </c>
      <c r="BM452">
        <f t="shared" si="362"/>
        <v>-47.975345079747427</v>
      </c>
      <c r="BN452">
        <f t="shared" si="350"/>
        <v>-90.729280187133355</v>
      </c>
      <c r="BQ452" s="66">
        <f t="shared" si="363"/>
        <v>21.697628556962822</v>
      </c>
    </row>
    <row r="453" spans="1:69" x14ac:dyDescent="0.2">
      <c r="A453">
        <f t="shared" si="372"/>
        <v>1195000</v>
      </c>
      <c r="B453">
        <f t="shared" si="351"/>
        <v>1195</v>
      </c>
      <c r="C453">
        <f t="shared" si="320"/>
        <v>74.339949854656751</v>
      </c>
      <c r="D453">
        <f t="shared" si="321"/>
        <v>1.5573442036427001</v>
      </c>
      <c r="F453">
        <f t="shared" si="322"/>
        <v>3.5653152461844897E-6</v>
      </c>
      <c r="G453">
        <f t="shared" si="323"/>
        <v>7.7703074377196064E-4</v>
      </c>
      <c r="H453">
        <f t="shared" si="324"/>
        <v>-3.1408156192562284</v>
      </c>
      <c r="J453">
        <f t="shared" si="325"/>
        <v>15</v>
      </c>
      <c r="M453">
        <f t="shared" si="326"/>
        <v>2.8230118476567493E-3</v>
      </c>
      <c r="N453">
        <f t="shared" si="327"/>
        <v>-1.5707963250000001</v>
      </c>
      <c r="O453">
        <f t="shared" si="328"/>
        <v>354.09785944571121</v>
      </c>
      <c r="P453">
        <f t="shared" si="329"/>
        <v>1.5679722449695892</v>
      </c>
      <c r="Q453">
        <f t="shared" si="330"/>
        <v>490.6002955255467</v>
      </c>
      <c r="R453">
        <f t="shared" si="331"/>
        <v>1.5687580061873079</v>
      </c>
      <c r="S453">
        <f t="shared" si="332"/>
        <v>2.2415923906761871E-2</v>
      </c>
      <c r="T453">
        <f t="shared" si="333"/>
        <v>-1.5483785252283764</v>
      </c>
      <c r="U453">
        <f t="shared" si="334"/>
        <v>0.99099708341961235</v>
      </c>
      <c r="V453">
        <f t="shared" si="335"/>
        <v>-0.13428669224616016</v>
      </c>
      <c r="X453">
        <f t="shared" si="352"/>
        <v>-27.267914261958317</v>
      </c>
      <c r="Y453">
        <f t="shared" si="336"/>
        <v>-97.414439535186148</v>
      </c>
      <c r="Z453">
        <f t="shared" si="353"/>
        <v>82.585560464813852</v>
      </c>
      <c r="AC453">
        <v>1</v>
      </c>
      <c r="AD453">
        <f t="shared" si="337"/>
        <v>354.09644740386005</v>
      </c>
      <c r="AE453">
        <f t="shared" si="338"/>
        <v>-2.658700043766637E-3</v>
      </c>
      <c r="AF453">
        <f t="shared" si="339"/>
        <v>1.9679533262203501E-2</v>
      </c>
      <c r="AG453">
        <f t="shared" si="367"/>
        <v>17663.86750664821</v>
      </c>
      <c r="AH453">
        <f t="shared" si="368"/>
        <v>-2437.198315324441</v>
      </c>
      <c r="AJ453">
        <f t="shared" si="340"/>
        <v>18000</v>
      </c>
      <c r="AK453">
        <f t="shared" si="341"/>
        <v>802798.81586981995</v>
      </c>
      <c r="AL453">
        <v>1</v>
      </c>
      <c r="AM453">
        <f t="shared" si="342"/>
        <v>490.59927636489004</v>
      </c>
      <c r="AN453">
        <f t="shared" si="369"/>
        <v>1636.4316231023781</v>
      </c>
      <c r="AO453">
        <f t="shared" si="370"/>
        <v>-33.354244829189248</v>
      </c>
      <c r="AQ453">
        <f t="shared" si="343"/>
        <v>1.7506693246495467E-3</v>
      </c>
      <c r="AR453">
        <f t="shared" si="344"/>
        <v>-4.1840996859124164</v>
      </c>
      <c r="AT453">
        <f t="shared" si="365"/>
        <v>-10166.5571146567</v>
      </c>
      <c r="AU453">
        <f t="shared" si="366"/>
        <v>-73911.649214894045</v>
      </c>
      <c r="AV453">
        <f t="shared" si="354"/>
        <v>-1.7074886908489397</v>
      </c>
      <c r="AW453">
        <f t="shared" si="355"/>
        <v>41182.261016851779</v>
      </c>
      <c r="AX453">
        <f t="shared" si="356"/>
        <v>-12814.285028797711</v>
      </c>
      <c r="AY453">
        <f t="shared" si="364"/>
        <v>-0.30166390112309083</v>
      </c>
      <c r="BA453">
        <f t="shared" si="345"/>
        <v>1.7298360010321423</v>
      </c>
      <c r="BB453">
        <f t="shared" si="357"/>
        <v>4.7600986264730345</v>
      </c>
      <c r="BC453">
        <f t="shared" si="358"/>
        <v>-1.4058247897258489</v>
      </c>
      <c r="BD453">
        <f t="shared" si="346"/>
        <v>-260.54782727819685</v>
      </c>
      <c r="BF453">
        <f t="shared" si="347"/>
        <v>-43.25167218966893</v>
      </c>
      <c r="BG453">
        <f t="shared" si="348"/>
        <v>-171.27405647612773</v>
      </c>
      <c r="BH453">
        <f t="shared" si="359"/>
        <v>8.7259435238722745</v>
      </c>
      <c r="BI453">
        <f t="shared" si="360"/>
        <v>8.7259435238722745</v>
      </c>
      <c r="BJ453">
        <f t="shared" si="349"/>
        <v>0</v>
      </c>
      <c r="BK453">
        <f t="shared" si="361"/>
        <v>0</v>
      </c>
      <c r="BM453">
        <f t="shared" si="362"/>
        <v>-48.011770816141961</v>
      </c>
      <c r="BN453">
        <f t="shared" si="350"/>
        <v>-90.726229197930891</v>
      </c>
      <c r="BQ453" s="66">
        <f t="shared" si="363"/>
        <v>21.662059426758169</v>
      </c>
    </row>
    <row r="454" spans="1:69" x14ac:dyDescent="0.2">
      <c r="A454">
        <f t="shared" si="372"/>
        <v>1200000</v>
      </c>
      <c r="B454">
        <f t="shared" si="351"/>
        <v>1200</v>
      </c>
      <c r="C454">
        <f t="shared" si="320"/>
        <v>74.650939503847439</v>
      </c>
      <c r="D454">
        <f t="shared" si="321"/>
        <v>1.5574002474363549</v>
      </c>
      <c r="F454">
        <f t="shared" si="322"/>
        <v>3.5356660867924623E-6</v>
      </c>
      <c r="G454">
        <f t="shared" si="323"/>
        <v>7.7379309383131072E-4</v>
      </c>
      <c r="H454">
        <f t="shared" si="324"/>
        <v>-3.140818856906169</v>
      </c>
      <c r="J454">
        <f t="shared" si="325"/>
        <v>15</v>
      </c>
      <c r="M454">
        <f t="shared" si="326"/>
        <v>2.8112492982915126E-3</v>
      </c>
      <c r="N454">
        <f t="shared" si="327"/>
        <v>-1.5707963250000001</v>
      </c>
      <c r="O454">
        <f t="shared" si="328"/>
        <v>355.57942865596675</v>
      </c>
      <c r="P454">
        <f t="shared" si="329"/>
        <v>1.5679840119150203</v>
      </c>
      <c r="Q454">
        <f t="shared" si="330"/>
        <v>492.65300791656273</v>
      </c>
      <c r="R454">
        <f t="shared" si="331"/>
        <v>1.5687664991664623</v>
      </c>
      <c r="S454">
        <f t="shared" si="332"/>
        <v>2.2322570861931675E-2</v>
      </c>
      <c r="T454">
        <f t="shared" si="333"/>
        <v>-1.5484719016381585</v>
      </c>
      <c r="U454">
        <f t="shared" si="334"/>
        <v>0.99092261245389102</v>
      </c>
      <c r="V454">
        <f t="shared" si="335"/>
        <v>-0.1348417891247877</v>
      </c>
      <c r="X454">
        <f t="shared" si="352"/>
        <v>-27.304822888583807</v>
      </c>
      <c r="Y454">
        <f t="shared" si="336"/>
        <v>-97.447407940437458</v>
      </c>
      <c r="Z454">
        <f t="shared" si="353"/>
        <v>82.552592059562542</v>
      </c>
      <c r="AC454">
        <v>1</v>
      </c>
      <c r="AD454">
        <f t="shared" si="337"/>
        <v>355.57802249760005</v>
      </c>
      <c r="AE454">
        <f t="shared" si="338"/>
        <v>-2.6809951247519876E-3</v>
      </c>
      <c r="AF454">
        <f t="shared" si="339"/>
        <v>1.9761874405560001E-2</v>
      </c>
      <c r="AG454">
        <f t="shared" si="367"/>
        <v>17661.212814989918</v>
      </c>
      <c r="AH454">
        <f t="shared" si="368"/>
        <v>-2446.6113113537517</v>
      </c>
      <c r="AJ454">
        <f t="shared" si="340"/>
        <v>18000</v>
      </c>
      <c r="AK454">
        <f t="shared" si="341"/>
        <v>806157.80673119996</v>
      </c>
      <c r="AL454">
        <v>1</v>
      </c>
      <c r="AM454">
        <f t="shared" si="342"/>
        <v>492.65199300239993</v>
      </c>
      <c r="AN454">
        <f t="shared" si="369"/>
        <v>1636.431057728877</v>
      </c>
      <c r="AO454">
        <f t="shared" si="370"/>
        <v>-33.215269956679961</v>
      </c>
      <c r="AQ454">
        <f t="shared" si="343"/>
        <v>1.7361108097029845E-3</v>
      </c>
      <c r="AR454">
        <f t="shared" si="344"/>
        <v>-4.1666659432871622</v>
      </c>
      <c r="AT454">
        <f t="shared" si="365"/>
        <v>-10163.550204998252</v>
      </c>
      <c r="AU454">
        <f t="shared" si="366"/>
        <v>-73592.621541710061</v>
      </c>
      <c r="AV454">
        <f t="shared" si="354"/>
        <v>-1.7080337641570063</v>
      </c>
      <c r="AW454">
        <f t="shared" si="355"/>
        <v>41177.436258453927</v>
      </c>
      <c r="AX454">
        <f t="shared" si="356"/>
        <v>-12804.849939762446</v>
      </c>
      <c r="AY454">
        <f t="shared" si="364"/>
        <v>-0.30148822574885775</v>
      </c>
      <c r="BA454">
        <f t="shared" si="345"/>
        <v>1.7227948107931264</v>
      </c>
      <c r="BB454">
        <f t="shared" si="357"/>
        <v>4.7246710992003287</v>
      </c>
      <c r="BC454">
        <f t="shared" si="358"/>
        <v>-1.4065455384081484</v>
      </c>
      <c r="BD454">
        <f t="shared" si="346"/>
        <v>-260.58912313582942</v>
      </c>
      <c r="BF454">
        <f t="shared" si="347"/>
        <v>-43.323373305229623</v>
      </c>
      <c r="BG454">
        <f t="shared" si="348"/>
        <v>-171.3123267645897</v>
      </c>
      <c r="BH454">
        <f t="shared" si="359"/>
        <v>8.6876732354103012</v>
      </c>
      <c r="BI454">
        <f t="shared" si="360"/>
        <v>8.6876732354103012</v>
      </c>
      <c r="BJ454">
        <f t="shared" si="349"/>
        <v>0</v>
      </c>
      <c r="BK454">
        <f t="shared" si="361"/>
        <v>0</v>
      </c>
      <c r="BM454">
        <f t="shared" si="362"/>
        <v>-48.048044404429959</v>
      </c>
      <c r="BN454">
        <f t="shared" si="350"/>
        <v>-90.72320362876026</v>
      </c>
      <c r="BQ454" s="66">
        <f t="shared" si="363"/>
        <v>21.626631899485464</v>
      </c>
    </row>
    <row r="455" spans="1:69" x14ac:dyDescent="0.2">
      <c r="A455">
        <f t="shared" si="372"/>
        <v>1205000</v>
      </c>
      <c r="B455">
        <f t="shared" si="351"/>
        <v>1205</v>
      </c>
      <c r="C455">
        <f t="shared" si="320"/>
        <v>74.961929385564318</v>
      </c>
      <c r="D455">
        <f t="shared" si="321"/>
        <v>1.5574558262193998</v>
      </c>
      <c r="F455">
        <f t="shared" si="322"/>
        <v>3.5063852394152989E-6</v>
      </c>
      <c r="G455">
        <f t="shared" si="323"/>
        <v>7.7058231262509662E-4</v>
      </c>
      <c r="H455">
        <f t="shared" si="324"/>
        <v>-3.1408220676873753</v>
      </c>
      <c r="J455">
        <f t="shared" si="325"/>
        <v>15</v>
      </c>
      <c r="M455">
        <f t="shared" si="326"/>
        <v>2.7995843634438301E-3</v>
      </c>
      <c r="N455">
        <f t="shared" si="327"/>
        <v>-1.5707963250000001</v>
      </c>
      <c r="O455">
        <f t="shared" si="328"/>
        <v>357.06099791504766</v>
      </c>
      <c r="P455">
        <f t="shared" si="329"/>
        <v>1.5679956812102214</v>
      </c>
      <c r="Q455">
        <f t="shared" si="330"/>
        <v>494.70572034281929</v>
      </c>
      <c r="R455">
        <f t="shared" si="331"/>
        <v>1.5687749216647509</v>
      </c>
      <c r="S455">
        <f t="shared" si="332"/>
        <v>2.2229991954503987E-2</v>
      </c>
      <c r="T455">
        <f t="shared" si="333"/>
        <v>-1.548564503524513</v>
      </c>
      <c r="U455">
        <f t="shared" si="334"/>
        <v>0.99084784743635279</v>
      </c>
      <c r="V455">
        <f t="shared" si="335"/>
        <v>-0.13539680241039725</v>
      </c>
      <c r="X455">
        <f t="shared" si="352"/>
        <v>-27.341583479743257</v>
      </c>
      <c r="Y455">
        <f t="shared" si="336"/>
        <v>-97.480361916120614</v>
      </c>
      <c r="Z455">
        <f t="shared" si="353"/>
        <v>82.519638083879386</v>
      </c>
      <c r="AC455">
        <v>1</v>
      </c>
      <c r="AD455">
        <f t="shared" si="337"/>
        <v>357.05959759134004</v>
      </c>
      <c r="AE455">
        <f t="shared" si="338"/>
        <v>-2.7033832958458367E-3</v>
      </c>
      <c r="AF455">
        <f t="shared" si="339"/>
        <v>1.9844215548916501E-2</v>
      </c>
      <c r="AG455">
        <f t="shared" si="367"/>
        <v>17658.547841851352</v>
      </c>
      <c r="AH455">
        <f t="shared" si="368"/>
        <v>-2456.021662555293</v>
      </c>
      <c r="AJ455">
        <f t="shared" si="340"/>
        <v>18000</v>
      </c>
      <c r="AK455">
        <f t="shared" si="341"/>
        <v>809516.79759257997</v>
      </c>
      <c r="AL455">
        <v>1</v>
      </c>
      <c r="AM455">
        <f t="shared" si="342"/>
        <v>494.70470963990999</v>
      </c>
      <c r="AN455">
        <f t="shared" si="369"/>
        <v>1636.4304993785699</v>
      </c>
      <c r="AO455">
        <f t="shared" si="370"/>
        <v>-33.077448388417992</v>
      </c>
      <c r="AQ455">
        <f t="shared" si="343"/>
        <v>1.7217331447920757E-3</v>
      </c>
      <c r="AR455">
        <f t="shared" si="344"/>
        <v>-4.1493768789489023</v>
      </c>
      <c r="AT455">
        <f t="shared" si="365"/>
        <v>-10160.556193696364</v>
      </c>
      <c r="AU455">
        <f t="shared" si="366"/>
        <v>-73276.198744691792</v>
      </c>
      <c r="AV455">
        <f t="shared" si="354"/>
        <v>-1.7085788370544466</v>
      </c>
      <c r="AW455">
        <f t="shared" si="355"/>
        <v>41172.574251283491</v>
      </c>
      <c r="AX455">
        <f t="shared" si="356"/>
        <v>-12795.662735897655</v>
      </c>
      <c r="AY455">
        <f t="shared" si="364"/>
        <v>-0.30131823675587432</v>
      </c>
      <c r="BA455">
        <f t="shared" si="345"/>
        <v>1.7158100370770311</v>
      </c>
      <c r="BB455">
        <f t="shared" si="357"/>
        <v>4.6893840803241673</v>
      </c>
      <c r="BC455">
        <f t="shared" si="358"/>
        <v>-1.4072606002985721</v>
      </c>
      <c r="BD455">
        <f t="shared" si="346"/>
        <v>-260.63009316428816</v>
      </c>
      <c r="BF455">
        <f t="shared" si="347"/>
        <v>-43.3947830302629</v>
      </c>
      <c r="BG455">
        <f t="shared" si="348"/>
        <v>-171.35029632755811</v>
      </c>
      <c r="BH455">
        <f t="shared" si="359"/>
        <v>8.6497036724418876</v>
      </c>
      <c r="BI455">
        <f t="shared" si="360"/>
        <v>8.6497036724418876</v>
      </c>
      <c r="BJ455">
        <f t="shared" si="349"/>
        <v>0</v>
      </c>
      <c r="BK455">
        <f t="shared" si="361"/>
        <v>0</v>
      </c>
      <c r="BM455">
        <f t="shared" si="362"/>
        <v>-48.084167110587074</v>
      </c>
      <c r="BN455">
        <f t="shared" si="350"/>
        <v>-90.720203163269929</v>
      </c>
      <c r="BQ455" s="66">
        <f t="shared" si="363"/>
        <v>21.591344880609302</v>
      </c>
    </row>
    <row r="456" spans="1:69" x14ac:dyDescent="0.2">
      <c r="A456">
        <f t="shared" si="372"/>
        <v>1210000</v>
      </c>
      <c r="B456">
        <f t="shared" si="351"/>
        <v>1210</v>
      </c>
      <c r="C456">
        <f t="shared" si="320"/>
        <v>75.272919496925311</v>
      </c>
      <c r="D456">
        <f t="shared" si="321"/>
        <v>1.5575109457550638</v>
      </c>
      <c r="F456">
        <f t="shared" si="322"/>
        <v>3.4774666288140095E-6</v>
      </c>
      <c r="G456">
        <f t="shared" si="323"/>
        <v>7.6739806706539499E-4</v>
      </c>
      <c r="H456">
        <f t="shared" si="324"/>
        <v>-3.1408252519329349</v>
      </c>
      <c r="J456">
        <f t="shared" si="325"/>
        <v>15</v>
      </c>
      <c r="M456">
        <f t="shared" si="326"/>
        <v>2.7880158330163764E-3</v>
      </c>
      <c r="N456">
        <f t="shared" si="327"/>
        <v>-1.5707963250000001</v>
      </c>
      <c r="O456">
        <f t="shared" si="328"/>
        <v>358.54256722234862</v>
      </c>
      <c r="P456">
        <f t="shared" si="329"/>
        <v>1.5680072540657197</v>
      </c>
      <c r="Q456">
        <f t="shared" si="330"/>
        <v>496.75843280387943</v>
      </c>
      <c r="R456">
        <f t="shared" si="331"/>
        <v>1.5687832745558989</v>
      </c>
      <c r="S456">
        <f t="shared" si="332"/>
        <v>2.2138177597200912E-2</v>
      </c>
      <c r="T456">
        <f t="shared" si="333"/>
        <v>-1.5486563404826568</v>
      </c>
      <c r="U456">
        <f t="shared" si="334"/>
        <v>0.99077278857171824</v>
      </c>
      <c r="V456">
        <f t="shared" si="335"/>
        <v>-0.13595173178001521</v>
      </c>
      <c r="X456">
        <f t="shared" si="352"/>
        <v>-27.378197280844532</v>
      </c>
      <c r="Y456">
        <f t="shared" si="336"/>
        <v>-97.513301562952904</v>
      </c>
      <c r="Z456">
        <f t="shared" si="353"/>
        <v>82.486698437047096</v>
      </c>
      <c r="AC456">
        <v>1</v>
      </c>
      <c r="AD456">
        <f t="shared" si="337"/>
        <v>358.54117268508003</v>
      </c>
      <c r="AE456">
        <f t="shared" si="338"/>
        <v>-2.7258645570481842E-3</v>
      </c>
      <c r="AF456">
        <f t="shared" si="339"/>
        <v>1.9926556692273001E-2</v>
      </c>
      <c r="AG456">
        <f t="shared" si="367"/>
        <v>17655.872596901452</v>
      </c>
      <c r="AH456">
        <f t="shared" si="368"/>
        <v>-2465.4293310345142</v>
      </c>
      <c r="AJ456">
        <f t="shared" si="340"/>
        <v>18000</v>
      </c>
      <c r="AK456">
        <f t="shared" si="341"/>
        <v>812875.78845395998</v>
      </c>
      <c r="AL456">
        <v>1</v>
      </c>
      <c r="AM456">
        <f t="shared" si="342"/>
        <v>496.75742627742</v>
      </c>
      <c r="AN456">
        <f t="shared" si="369"/>
        <v>1636.429947935613</v>
      </c>
      <c r="AO456">
        <f t="shared" si="370"/>
        <v>-32.940765827476447</v>
      </c>
      <c r="AQ456">
        <f t="shared" si="343"/>
        <v>1.7075333468456139E-3</v>
      </c>
      <c r="AR456">
        <f t="shared" si="344"/>
        <v>-4.132230699366386</v>
      </c>
      <c r="AT456">
        <f t="shared" si="365"/>
        <v>-10157.574777592286</v>
      </c>
      <c r="AU456">
        <f t="shared" si="366"/>
        <v>-72962.348571814931</v>
      </c>
      <c r="AV456">
        <f t="shared" si="354"/>
        <v>-1.7091239081871126</v>
      </c>
      <c r="AW456">
        <f t="shared" si="355"/>
        <v>41167.675250474589</v>
      </c>
      <c r="AX456">
        <f t="shared" si="356"/>
        <v>-12786.720184880352</v>
      </c>
      <c r="AY456">
        <f t="shared" si="364"/>
        <v>-0.30115386415695522</v>
      </c>
      <c r="BA456">
        <f t="shared" si="345"/>
        <v>1.7088810127034566</v>
      </c>
      <c r="BB456">
        <f t="shared" si="357"/>
        <v>4.6542364875883413</v>
      </c>
      <c r="BC456">
        <f t="shared" si="358"/>
        <v>-1.4079700440301575</v>
      </c>
      <c r="BD456">
        <f t="shared" si="346"/>
        <v>-260.67074129595647</v>
      </c>
      <c r="BF456">
        <f t="shared" si="347"/>
        <v>-43.465903697262569</v>
      </c>
      <c r="BG456">
        <f t="shared" si="348"/>
        <v>-171.38796878629222</v>
      </c>
      <c r="BH456">
        <f t="shared" si="359"/>
        <v>8.6120312137077804</v>
      </c>
      <c r="BI456">
        <f t="shared" si="360"/>
        <v>8.6120312137077804</v>
      </c>
      <c r="BJ456">
        <f t="shared" si="349"/>
        <v>0</v>
      </c>
      <c r="BK456">
        <f t="shared" si="361"/>
        <v>0</v>
      </c>
      <c r="BM456">
        <f t="shared" si="362"/>
        <v>-48.120140184850904</v>
      </c>
      <c r="BN456">
        <f t="shared" si="350"/>
        <v>-90.717227490335759</v>
      </c>
      <c r="BQ456" s="66">
        <f t="shared" si="363"/>
        <v>21.556197287873481</v>
      </c>
    </row>
    <row r="457" spans="1:69" x14ac:dyDescent="0.2">
      <c r="A457">
        <f t="shared" si="372"/>
        <v>1215000</v>
      </c>
      <c r="B457">
        <f t="shared" si="351"/>
        <v>1215</v>
      </c>
      <c r="C457">
        <f t="shared" ref="C457:C520" si="373">SQRT((A457/Fesr)^2+1)</f>
        <v>75.58390983509581</v>
      </c>
      <c r="D457">
        <f t="shared" ref="D457:D520" si="374">ATAN(A457/Fesr)</f>
        <v>1.557565611711736</v>
      </c>
      <c r="F457">
        <f t="shared" ref="F457:F520" si="375">(Ro/(Ro+Rdcr))/SQRT((A457/(Q*Fo))^2+(1-(A457^2/Fo^2))^2)</f>
        <v>3.4489043044975769E-6</v>
      </c>
      <c r="G457">
        <f t="shared" ref="G457:G520" si="376">-ATAN(A457*Fo/(Q*(Fo^2-A457^2)))</f>
        <v>7.6424002954730245E-4</v>
      </c>
      <c r="H457">
        <f t="shared" ref="H457:H520" si="377">IF(G457&gt;0,G457-Pi,G457)</f>
        <v>-3.1408284099704531</v>
      </c>
      <c r="J457">
        <f t="shared" ref="J457:J520" si="378">Vin/Vramp</f>
        <v>15</v>
      </c>
      <c r="M457">
        <f t="shared" ref="M457:M520" si="379">1/(2*Pi*_Rfb1*(Cc1ea_u+Cc2ea_u)*A457)</f>
        <v>2.7765425168311238E-3</v>
      </c>
      <c r="N457">
        <f t="shared" ref="N457:N520" si="380">-Pi/2</f>
        <v>-1.5707963250000001</v>
      </c>
      <c r="O457">
        <f t="shared" ref="O457:O520" si="381">SQRT(1+(A457/Fz1_u)^2)</f>
        <v>360.02413657727431</v>
      </c>
      <c r="P457">
        <f t="shared" ref="P457:P520" si="382">ATAN2(Fz1_u,A457)</f>
        <v>1.5680187316721161</v>
      </c>
      <c r="Q457">
        <f t="shared" ref="Q457:Q520" si="383">SQRT(1+(A457/Fz2_u)^2)</f>
        <v>498.81114529931358</v>
      </c>
      <c r="R457">
        <f t="shared" ref="R457:R520" si="384">ATAN2(Fz2_u,A457)</f>
        <v>1.5687915586992491</v>
      </c>
      <c r="S457">
        <f t="shared" ref="S457:S520" si="385">1/SQRT(1+(A457/Fp1_u)^2)</f>
        <v>2.2047118360366363E-2</v>
      </c>
      <c r="T457">
        <f t="shared" ref="T457:T520" si="386">-ATAN2(Fp1_u,A457)</f>
        <v>-1.548747421949989</v>
      </c>
      <c r="U457">
        <f t="shared" ref="U457:U520" si="387">1/SQRT(1+(A457/Fp2_u)^2)</f>
        <v>0.99069743606543037</v>
      </c>
      <c r="V457">
        <f t="shared" ref="V457:V520" si="388">-ATAN2(Fp2_u,A457)</f>
        <v>-0.13650657691097226</v>
      </c>
      <c r="X457">
        <f t="shared" si="352"/>
        <v>-27.41466552188724</v>
      </c>
      <c r="Y457">
        <f t="shared" ref="Y457:Y520" si="389">(180/Pi)*(D457+H457+N457+P457+R457+T457+V457)</f>
        <v>-97.546226979712458</v>
      </c>
      <c r="Z457">
        <f t="shared" si="353"/>
        <v>82.453773020287542</v>
      </c>
      <c r="AC457">
        <v>1</v>
      </c>
      <c r="AD457">
        <f t="shared" ref="AD457:AD520" si="390">Rcea1_u*Cc1ea_u*A457*2*Pi</f>
        <v>360.02274777882008</v>
      </c>
      <c r="AE457">
        <f t="shared" ref="AE457:AE520" si="391">-Rcea1_u*Cc1ea_u*Cc2ea_u*(A457*2*Pi)^2</f>
        <v>-2.7484389083590297E-3</v>
      </c>
      <c r="AF457">
        <f t="shared" ref="AF457:AF520" si="392">(Cc2ea_u+Cc1ea_u)*A457*2*Pi</f>
        <v>2.0008897835629501E-2</v>
      </c>
      <c r="AG457">
        <f t="shared" si="367"/>
        <v>17653.187089841955</v>
      </c>
      <c r="AH457">
        <f t="shared" si="368"/>
        <v>-2474.8342792817816</v>
      </c>
      <c r="AJ457">
        <f t="shared" ref="AJ457:AJ520" si="393">_Rfb1</f>
        <v>18000</v>
      </c>
      <c r="AK457">
        <f t="shared" ref="AK457:AK520" si="394">_Rfb1*Rcea2_u*Cc3ea_u*A457*2*Pi</f>
        <v>816234.77931533998</v>
      </c>
      <c r="AL457">
        <v>1</v>
      </c>
      <c r="AM457">
        <f t="shared" ref="AM457:AM520" si="395">(_Rfb1+Rcea2_u)*Cc3ea_u*A457*2*Pi</f>
        <v>498.81014291493</v>
      </c>
      <c r="AN457">
        <f t="shared" si="369"/>
        <v>1636.4294032865391</v>
      </c>
      <c r="AO457">
        <f t="shared" si="370"/>
        <v>-32.805208212264041</v>
      </c>
      <c r="AQ457">
        <f t="shared" ref="AQ457:AQ520" si="396">Eadcg/(1+(Eadcg*A457/GBP)^2)</f>
        <v>1.6935084940458782E-3</v>
      </c>
      <c r="AR457">
        <f t="shared" ref="AR457:AR520" si="397">-(A457*Eadcg*Eadcg/GBP)/(1+(Eadcg*A457/GBP)^2)</f>
        <v>-4.1152256405314835</v>
      </c>
      <c r="AT457">
        <f t="shared" si="365"/>
        <v>-10154.605659883015</v>
      </c>
      <c r="AU457">
        <f t="shared" si="366"/>
        <v>-72651.039302090299</v>
      </c>
      <c r="AV457">
        <f t="shared" si="354"/>
        <v>-1.709668976218135</v>
      </c>
      <c r="AW457">
        <f t="shared" si="355"/>
        <v>41162.739506442224</v>
      </c>
      <c r="AX457">
        <f t="shared" si="356"/>
        <v>-12778.019107069649</v>
      </c>
      <c r="AY457">
        <f t="shared" si="364"/>
        <v>-0.30099503907484021</v>
      </c>
      <c r="BA457">
        <f t="shared" ref="BA457:BA520" si="398">SQRT(AT457^2+AU457^2)/SQRT(AW457^2+AX457^2)</f>
        <v>1.7020070808377048</v>
      </c>
      <c r="BB457">
        <f t="shared" si="357"/>
        <v>4.619227250839133</v>
      </c>
      <c r="BC457">
        <f t="shared" si="358"/>
        <v>-1.4086739371432948</v>
      </c>
      <c r="BD457">
        <f t="shared" ref="BD457:BD520" si="399">BC457*180/Pi-180</f>
        <v>-260.71107140061366</v>
      </c>
      <c r="BF457">
        <f t="shared" ref="BF457:BF520" si="400">20*LOG(BA457*J457*F457*C457)</f>
        <v>-43.536737611141632</v>
      </c>
      <c r="BG457">
        <f t="shared" ref="BG457:BG520" si="401">(180/Pi)*(D457+H457+BC457)</f>
        <v>-171.42534770456703</v>
      </c>
      <c r="BH457">
        <f t="shared" si="359"/>
        <v>8.5746522954329691</v>
      </c>
      <c r="BI457">
        <f t="shared" si="360"/>
        <v>8.5746522954329691</v>
      </c>
      <c r="BJ457">
        <f t="shared" ref="BJ457:BJ520" si="402">SUM((BF458&lt;0)*(BF457&gt;0))*A457</f>
        <v>0</v>
      </c>
      <c r="BK457">
        <f t="shared" si="361"/>
        <v>0</v>
      </c>
      <c r="BM457">
        <f t="shared" si="362"/>
        <v>-48.155964861980763</v>
      </c>
      <c r="BN457">
        <f t="shared" ref="BN457:BN520" si="403">(H457+D457)*180/Pi</f>
        <v>-90.714276303953369</v>
      </c>
      <c r="BQ457" s="66">
        <f t="shared" si="363"/>
        <v>21.52118805112427</v>
      </c>
    </row>
    <row r="458" spans="1:69" x14ac:dyDescent="0.2">
      <c r="A458">
        <f t="shared" si="372"/>
        <v>1220000</v>
      </c>
      <c r="B458">
        <f t="shared" ref="B458:B521" si="404">A458/1000</f>
        <v>1220</v>
      </c>
      <c r="C458">
        <f t="shared" si="373"/>
        <v>75.894900397287685</v>
      </c>
      <c r="D458">
        <f t="shared" si="374"/>
        <v>1.5576198296649086</v>
      </c>
      <c r="F458">
        <f t="shared" si="375"/>
        <v>3.4206924376616612E-6</v>
      </c>
      <c r="G458">
        <f t="shared" si="376"/>
        <v>7.6110787783657526E-4</v>
      </c>
      <c r="H458">
        <f t="shared" si="377"/>
        <v>-3.1408315421221635</v>
      </c>
      <c r="J458">
        <f t="shared" si="378"/>
        <v>15</v>
      </c>
      <c r="M458">
        <f t="shared" si="379"/>
        <v>2.76516324422116E-3</v>
      </c>
      <c r="N458">
        <f t="shared" si="380"/>
        <v>-1.5707963250000001</v>
      </c>
      <c r="O458">
        <f t="shared" si="381"/>
        <v>361.50570597923922</v>
      </c>
      <c r="P458">
        <f t="shared" si="382"/>
        <v>1.5680301152004947</v>
      </c>
      <c r="Q458">
        <f t="shared" si="383"/>
        <v>500.86385782869905</v>
      </c>
      <c r="R458">
        <f t="shared" si="384"/>
        <v>1.5687997749400566</v>
      </c>
      <c r="S458">
        <f t="shared" si="385"/>
        <v>2.1956804968740879E-2</v>
      </c>
      <c r="T458">
        <f t="shared" si="386"/>
        <v>-1.5488377572093235</v>
      </c>
      <c r="U458">
        <f t="shared" si="387"/>
        <v>0.99062179012365081</v>
      </c>
      <c r="V458">
        <f t="shared" si="388"/>
        <v>-0.13706133748090457</v>
      </c>
      <c r="X458">
        <f t="shared" ref="X458:X521" si="405">20*LOG(C458*J458*O458*Q458*F458*M458*S458*U458)</f>
        <v>-27.450989417715427</v>
      </c>
      <c r="Y458">
        <f t="shared" si="389"/>
        <v>-97.57913826327794</v>
      </c>
      <c r="Z458">
        <f t="shared" ref="Z458:Z521" si="406">Y458+180</f>
        <v>82.42086173672206</v>
      </c>
      <c r="AC458">
        <v>1</v>
      </c>
      <c r="AD458">
        <f t="shared" si="390"/>
        <v>361.50432287256007</v>
      </c>
      <c r="AE458">
        <f t="shared" si="391"/>
        <v>-2.771106349778374E-3</v>
      </c>
      <c r="AF458">
        <f t="shared" si="392"/>
        <v>2.0091238978986001E-2</v>
      </c>
      <c r="AG458">
        <f t="shared" si="367"/>
        <v>17650.491330407345</v>
      </c>
      <c r="AH458">
        <f t="shared" si="368"/>
        <v>-2484.236470165114</v>
      </c>
      <c r="AJ458">
        <f t="shared" si="393"/>
        <v>18000</v>
      </c>
      <c r="AK458">
        <f t="shared" si="394"/>
        <v>819593.77017671987</v>
      </c>
      <c r="AL458">
        <v>1</v>
      </c>
      <c r="AM458">
        <f t="shared" si="395"/>
        <v>500.86285955244</v>
      </c>
      <c r="AN458">
        <f t="shared" si="369"/>
        <v>1636.4288653202029</v>
      </c>
      <c r="AO458">
        <f t="shared" si="370"/>
        <v>-32.670761711702724</v>
      </c>
      <c r="AQ458">
        <f t="shared" si="396"/>
        <v>1.6796557243254965E-3</v>
      </c>
      <c r="AR458">
        <f t="shared" si="397"/>
        <v>-4.0983599673542113</v>
      </c>
      <c r="AT458">
        <f t="shared" si="365"/>
        <v>-10151.648549965761</v>
      </c>
      <c r="AU458">
        <f t="shared" si="366"/>
        <v>-72342.239734681731</v>
      </c>
      <c r="AV458">
        <f t="shared" ref="AV458:AV521" si="407">ATAN2(AT458,AU458)</f>
        <v>-1.7102140398275754</v>
      </c>
      <c r="AW458">
        <f t="shared" ref="AW458:AW521" si="408">AG458-AH458*AO458/_Rfb2+AG458*AN458/_Rfb2+AN458-AO458*AR458+AQ458*AN458</f>
        <v>41157.767264999835</v>
      </c>
      <c r="AX458">
        <f t="shared" ref="AX458:AX521" si="409">AH458+AH458*AN458/_Rfb2+AG458*AO458/_Rfb2+AO458+AO458*AQ458+AN458*AR458</f>
        <v>-12769.556374428365</v>
      </c>
      <c r="AY458">
        <f t="shared" si="364"/>
        <v>-0.30084169372033631</v>
      </c>
      <c r="BA458">
        <f t="shared" si="398"/>
        <v>1.6951875947937372</v>
      </c>
      <c r="BB458">
        <f t="shared" ref="BB458:BB521" si="410">20*LOG(BA458)</f>
        <v>4.5843553118516081</v>
      </c>
      <c r="BC458">
        <f t="shared" ref="BC458:BC521" si="411">AV458-AY458</f>
        <v>-1.4093723461072392</v>
      </c>
      <c r="BD458">
        <f t="shared" si="399"/>
        <v>-260.75108728666748</v>
      </c>
      <c r="BF458">
        <f t="shared" si="400"/>
        <v>-43.607287049660599</v>
      </c>
      <c r="BG458">
        <f t="shared" si="401"/>
        <v>-171.46243658980066</v>
      </c>
      <c r="BH458">
        <f t="shared" ref="BH458:BH521" si="412">IF(BG458&gt;180,BG458-180,BG458+180)</f>
        <v>8.5375634101993398</v>
      </c>
      <c r="BI458">
        <f t="shared" ref="BI458:BI521" si="413">IF(BH458&gt;180,BH458-360,BH458)</f>
        <v>8.5375634101993398</v>
      </c>
      <c r="BJ458">
        <f t="shared" si="402"/>
        <v>0</v>
      </c>
      <c r="BK458">
        <f t="shared" ref="BK458:BK521" si="414">IF(BJ458&gt;0,BI458,0)</f>
        <v>0</v>
      </c>
      <c r="BM458">
        <f t="shared" ref="BM458:BM521" si="415">20*LOG(J458*F458*C458)</f>
        <v>-48.191642361512201</v>
      </c>
      <c r="BN458">
        <f t="shared" si="403"/>
        <v>-90.711349303133204</v>
      </c>
      <c r="BQ458" s="66">
        <f t="shared" ref="BQ458:BQ521" si="416">20*LOG(BA458*7)</f>
        <v>21.486316112136748</v>
      </c>
    </row>
    <row r="459" spans="1:69" x14ac:dyDescent="0.2">
      <c r="A459">
        <f t="shared" si="372"/>
        <v>1225000</v>
      </c>
      <c r="B459">
        <f t="shared" si="404"/>
        <v>1225</v>
      </c>
      <c r="C459">
        <f t="shared" si="373"/>
        <v>76.205891180758258</v>
      </c>
      <c r="D459">
        <f t="shared" si="374"/>
        <v>1.5576736050990716</v>
      </c>
      <c r="F459">
        <f t="shared" si="375"/>
        <v>3.3928253182145946E-6</v>
      </c>
      <c r="G459">
        <f t="shared" si="376"/>
        <v>7.5800129496002343E-4</v>
      </c>
      <c r="H459">
        <f t="shared" si="377"/>
        <v>-3.1408346487050403</v>
      </c>
      <c r="J459">
        <f t="shared" si="378"/>
        <v>15</v>
      </c>
      <c r="M459">
        <f t="shared" si="379"/>
        <v>2.753876863632502E-3</v>
      </c>
      <c r="N459">
        <f t="shared" si="380"/>
        <v>-1.5707963250000001</v>
      </c>
      <c r="O459">
        <f t="shared" si="381"/>
        <v>362.98727542766733</v>
      </c>
      <c r="P459">
        <f t="shared" si="382"/>
        <v>1.5680414058028189</v>
      </c>
      <c r="Q459">
        <f t="shared" si="383"/>
        <v>502.91657039162016</v>
      </c>
      <c r="R459">
        <f t="shared" si="384"/>
        <v>1.568807924109777</v>
      </c>
      <c r="S459">
        <f t="shared" si="385"/>
        <v>2.1867228298315191E-2</v>
      </c>
      <c r="T459">
        <f t="shared" si="386"/>
        <v>-1.5489273553920395</v>
      </c>
      <c r="U459">
        <f t="shared" si="387"/>
        <v>0.99054585095325964</v>
      </c>
      <c r="V459">
        <f t="shared" si="388"/>
        <v>-0.13761601316775474</v>
      </c>
      <c r="X459">
        <f t="shared" si="405"/>
        <v>-27.487170168265088</v>
      </c>
      <c r="Y459">
        <f t="shared" si="389"/>
        <v>-97.612035508667901</v>
      </c>
      <c r="Z459">
        <f t="shared" si="406"/>
        <v>82.387964491332099</v>
      </c>
      <c r="AC459">
        <v>1</v>
      </c>
      <c r="AD459">
        <f t="shared" si="390"/>
        <v>362.9858979663</v>
      </c>
      <c r="AE459">
        <f t="shared" si="391"/>
        <v>-2.7938668813062163E-3</v>
      </c>
      <c r="AF459">
        <f t="shared" si="392"/>
        <v>2.0173580122342501E-2</v>
      </c>
      <c r="AG459">
        <f t="shared" si="367"/>
        <v>17647.785328364727</v>
      </c>
      <c r="AH459">
        <f t="shared" si="368"/>
        <v>-2493.6358669230904</v>
      </c>
      <c r="AJ459">
        <f t="shared" si="393"/>
        <v>18000</v>
      </c>
      <c r="AK459">
        <f t="shared" si="394"/>
        <v>822952.7610381</v>
      </c>
      <c r="AL459">
        <v>1</v>
      </c>
      <c r="AM459">
        <f t="shared" si="395"/>
        <v>502.91557618995</v>
      </c>
      <c r="AN459">
        <f t="shared" si="369"/>
        <v>1636.4283339277226</v>
      </c>
      <c r="AO459">
        <f t="shared" si="370"/>
        <v>-32.537412720523491</v>
      </c>
      <c r="AQ459">
        <f t="shared" si="396"/>
        <v>1.6659722339071664E-3</v>
      </c>
      <c r="AR459">
        <f t="shared" si="397"/>
        <v>-4.0816319730725574</v>
      </c>
      <c r="AT459">
        <f t="shared" si="365"/>
        <v>-10148.70316328678</v>
      </c>
      <c r="AU459">
        <f t="shared" si="366"/>
        <v>-72035.919178290016</v>
      </c>
      <c r="AV459">
        <f t="shared" si="407"/>
        <v>-1.710759097712089</v>
      </c>
      <c r="AW459">
        <f t="shared" si="408"/>
        <v>41152.758767473235</v>
      </c>
      <c r="AX459">
        <f t="shared" si="409"/>
        <v>-12761.328909470965</v>
      </c>
      <c r="AY459">
        <f t="shared" ref="AY459:AY522" si="417">ATAN2(AW459,AX459)</f>
        <v>-0.30069376137097142</v>
      </c>
      <c r="BA459">
        <f t="shared" si="398"/>
        <v>1.688421917841554</v>
      </c>
      <c r="BB459">
        <f t="shared" si="410"/>
        <v>4.549619624158888</v>
      </c>
      <c r="BC459">
        <f t="shared" si="411"/>
        <v>-1.4100653363411175</v>
      </c>
      <c r="BD459">
        <f t="shared" si="399"/>
        <v>-260.79079270235786</v>
      </c>
      <c r="BF459">
        <f t="shared" si="400"/>
        <v>-43.677554263847391</v>
      </c>
      <c r="BG459">
        <f t="shared" si="401"/>
        <v>-171.49923889415626</v>
      </c>
      <c r="BH459">
        <f t="shared" si="412"/>
        <v>8.5007611058437362</v>
      </c>
      <c r="BI459">
        <f t="shared" si="413"/>
        <v>8.5007611058437362</v>
      </c>
      <c r="BJ459">
        <f t="shared" si="402"/>
        <v>0</v>
      </c>
      <c r="BK459">
        <f t="shared" si="414"/>
        <v>0</v>
      </c>
      <c r="BM459">
        <f t="shared" si="415"/>
        <v>-48.227173888006277</v>
      </c>
      <c r="BN459">
        <f t="shared" si="403"/>
        <v>-90.708446191798402</v>
      </c>
      <c r="BQ459" s="66">
        <f t="shared" si="416"/>
        <v>21.451580424444025</v>
      </c>
    </row>
    <row r="460" spans="1:69" x14ac:dyDescent="0.2">
      <c r="A460">
        <f t="shared" si="372"/>
        <v>1230000</v>
      </c>
      <c r="B460">
        <f t="shared" si="404"/>
        <v>1230</v>
      </c>
      <c r="C460">
        <f t="shared" si="373"/>
        <v>76.516882182809496</v>
      </c>
      <c r="D460">
        <f t="shared" si="374"/>
        <v>1.5577269434095615</v>
      </c>
      <c r="F460">
        <f t="shared" si="375"/>
        <v>3.3652973518878328E-6</v>
      </c>
      <c r="G460">
        <f t="shared" si="376"/>
        <v>7.5491996909857521E-4</v>
      </c>
      <c r="H460">
        <f t="shared" si="377"/>
        <v>-3.1408377300309018</v>
      </c>
      <c r="J460">
        <f t="shared" si="378"/>
        <v>15</v>
      </c>
      <c r="M460">
        <f t="shared" si="379"/>
        <v>2.7426822422356224E-3</v>
      </c>
      <c r="N460">
        <f t="shared" si="380"/>
        <v>-1.5707963250000001</v>
      </c>
      <c r="O460">
        <f t="shared" si="381"/>
        <v>364.46884492199194</v>
      </c>
      <c r="P460">
        <f t="shared" si="382"/>
        <v>1.5680526046123224</v>
      </c>
      <c r="Q460">
        <f t="shared" si="383"/>
        <v>504.9692829876679</v>
      </c>
      <c r="R460">
        <f t="shared" si="384"/>
        <v>1.5688160070263459</v>
      </c>
      <c r="S460">
        <f t="shared" si="385"/>
        <v>2.1778379373260486E-2</v>
      </c>
      <c r="T460">
        <f t="shared" si="386"/>
        <v>-1.5490162254811566</v>
      </c>
      <c r="U460">
        <f t="shared" si="387"/>
        <v>0.99046961876185402</v>
      </c>
      <c r="V460">
        <f t="shared" si="388"/>
        <v>-0.13817060364977282</v>
      </c>
      <c r="X460">
        <f t="shared" si="405"/>
        <v>-27.523208958806663</v>
      </c>
      <c r="Y460">
        <f t="shared" si="389"/>
        <v>-97.644918809078646</v>
      </c>
      <c r="Z460">
        <f t="shared" si="406"/>
        <v>82.355081190921354</v>
      </c>
      <c r="AC460">
        <v>1</v>
      </c>
      <c r="AD460">
        <f t="shared" si="390"/>
        <v>364.46747306004005</v>
      </c>
      <c r="AE460">
        <f t="shared" si="391"/>
        <v>-2.8167205029425574E-3</v>
      </c>
      <c r="AF460">
        <f t="shared" si="392"/>
        <v>2.0255921265699001E-2</v>
      </c>
      <c r="AG460">
        <f t="shared" si="367"/>
        <v>17645.069093513775</v>
      </c>
      <c r="AH460">
        <f t="shared" si="368"/>
        <v>-2503.0324331579432</v>
      </c>
      <c r="AJ460">
        <f t="shared" si="393"/>
        <v>18000</v>
      </c>
      <c r="AK460">
        <f t="shared" si="394"/>
        <v>826311.75189947989</v>
      </c>
      <c r="AL460">
        <v>1</v>
      </c>
      <c r="AM460">
        <f t="shared" si="395"/>
        <v>504.96829282745995</v>
      </c>
      <c r="AN460">
        <f t="shared" si="369"/>
        <v>1636.4278090024238</v>
      </c>
      <c r="AO460">
        <f t="shared" si="370"/>
        <v>-32.405147854676812</v>
      </c>
      <c r="AQ460">
        <f t="shared" si="396"/>
        <v>1.6524552758848444E-3</v>
      </c>
      <c r="AR460">
        <f t="shared" si="397"/>
        <v>-4.0650399786767171</v>
      </c>
      <c r="AT460">
        <f t="shared" si="365"/>
        <v>-10145.769221194567</v>
      </c>
      <c r="AU460">
        <f t="shared" si="366"/>
        <v>-71732.047440796319</v>
      </c>
      <c r="AV460">
        <f t="shared" si="407"/>
        <v>-1.7113041485845939</v>
      </c>
      <c r="AW460">
        <f t="shared" si="408"/>
        <v>41147.714250811485</v>
      </c>
      <c r="AX460">
        <f t="shared" si="409"/>
        <v>-12753.333684237217</v>
      </c>
      <c r="AY460">
        <f t="shared" si="417"/>
        <v>-0.3005511763501445</v>
      </c>
      <c r="BA460">
        <f t="shared" si="398"/>
        <v>1.6817094230188834</v>
      </c>
      <c r="BB460">
        <f t="shared" si="410"/>
        <v>4.5150191528843466</v>
      </c>
      <c r="BC460">
        <f t="shared" si="411"/>
        <v>-1.4107529722344494</v>
      </c>
      <c r="BD460">
        <f t="shared" si="399"/>
        <v>-260.8301913369325</v>
      </c>
      <c r="BF460">
        <f t="shared" si="400"/>
        <v>-43.747541478409424</v>
      </c>
      <c r="BG460">
        <f t="shared" si="401"/>
        <v>-171.53575801561738</v>
      </c>
      <c r="BH460">
        <f t="shared" si="412"/>
        <v>8.4642419843826247</v>
      </c>
      <c r="BI460">
        <f t="shared" si="413"/>
        <v>8.4642419843826247</v>
      </c>
      <c r="BJ460">
        <f t="shared" si="402"/>
        <v>0</v>
      </c>
      <c r="BK460">
        <f t="shared" si="414"/>
        <v>0</v>
      </c>
      <c r="BM460">
        <f t="shared" si="415"/>
        <v>-48.262560631293773</v>
      </c>
      <c r="BN460">
        <f t="shared" si="403"/>
        <v>-90.705566678684846</v>
      </c>
      <c r="BQ460" s="66">
        <f t="shared" si="416"/>
        <v>21.416979953169481</v>
      </c>
    </row>
    <row r="461" spans="1:69" x14ac:dyDescent="0.2">
      <c r="A461">
        <f t="shared" si="372"/>
        <v>1235000</v>
      </c>
      <c r="B461">
        <f t="shared" si="404"/>
        <v>1235</v>
      </c>
      <c r="C461">
        <f t="shared" si="373"/>
        <v>76.827873400787013</v>
      </c>
      <c r="D461">
        <f t="shared" si="374"/>
        <v>1.557779849904366</v>
      </c>
      <c r="F461">
        <f t="shared" si="375"/>
        <v>3.3381030574281292E-6</v>
      </c>
      <c r="G461">
        <f t="shared" si="376"/>
        <v>7.5186359348294158E-4</v>
      </c>
      <c r="H461">
        <f t="shared" si="377"/>
        <v>-3.1408407864065171</v>
      </c>
      <c r="J461">
        <f t="shared" si="378"/>
        <v>15</v>
      </c>
      <c r="M461">
        <f t="shared" si="379"/>
        <v>2.7315782655464092E-3</v>
      </c>
      <c r="N461">
        <f t="shared" si="380"/>
        <v>-1.5707963250000001</v>
      </c>
      <c r="O461">
        <f t="shared" si="381"/>
        <v>365.95041446165573</v>
      </c>
      <c r="P461">
        <f t="shared" si="382"/>
        <v>1.5680637127438861</v>
      </c>
      <c r="Q461">
        <f t="shared" si="383"/>
        <v>507.02199561643988</v>
      </c>
      <c r="R461">
        <f t="shared" si="384"/>
        <v>1.5688240244944534</v>
      </c>
      <c r="S461">
        <f t="shared" si="385"/>
        <v>2.1690249362933081E-2</v>
      </c>
      <c r="T461">
        <f t="shared" si="386"/>
        <v>-1.5491043763143357</v>
      </c>
      <c r="U461">
        <f t="shared" si="387"/>
        <v>0.9903930937577452</v>
      </c>
      <c r="V461">
        <f t="shared" si="388"/>
        <v>-0.1387251086055174</v>
      </c>
      <c r="X461">
        <f t="shared" si="405"/>
        <v>-27.5591069601826</v>
      </c>
      <c r="Y461">
        <f t="shared" si="389"/>
        <v>-97.677788255921598</v>
      </c>
      <c r="Z461">
        <f t="shared" si="406"/>
        <v>82.322211744078402</v>
      </c>
      <c r="AC461">
        <v>1</v>
      </c>
      <c r="AD461">
        <f t="shared" si="390"/>
        <v>365.94904815378004</v>
      </c>
      <c r="AE461">
        <f t="shared" si="391"/>
        <v>-2.8396672146873965E-3</v>
      </c>
      <c r="AF461">
        <f t="shared" si="392"/>
        <v>2.0338262409055501E-2</v>
      </c>
      <c r="AG461">
        <f t="shared" si="367"/>
        <v>17642.342635686615</v>
      </c>
      <c r="AH461">
        <f t="shared" si="368"/>
        <v>-2512.4261328288121</v>
      </c>
      <c r="AJ461">
        <f t="shared" si="393"/>
        <v>18000</v>
      </c>
      <c r="AK461">
        <f t="shared" si="394"/>
        <v>829670.7427608599</v>
      </c>
      <c r="AL461">
        <v>1</v>
      </c>
      <c r="AM461">
        <f t="shared" si="395"/>
        <v>507.02100946496995</v>
      </c>
      <c r="AN461">
        <f t="shared" si="369"/>
        <v>1636.4272904397878</v>
      </c>
      <c r="AO461">
        <f t="shared" si="370"/>
        <v>-32.273953946854689</v>
      </c>
      <c r="AQ461">
        <f t="shared" si="396"/>
        <v>1.6391021588450625E-3</v>
      </c>
      <c r="AR461">
        <f t="shared" si="397"/>
        <v>-4.048582332347304</v>
      </c>
      <c r="AT461">
        <f t="shared" si="365"/>
        <v>-10142.846450797153</v>
      </c>
      <c r="AU461">
        <f t="shared" si="366"/>
        <v>-71430.594819156657</v>
      </c>
      <c r="AV461">
        <f t="shared" si="407"/>
        <v>-1.7118491911739493</v>
      </c>
      <c r="AW461">
        <f t="shared" si="408"/>
        <v>41142.633947694594</v>
      </c>
      <c r="AX461">
        <f t="shared" si="409"/>
        <v>-12745.567719290795</v>
      </c>
      <c r="AY461">
        <f t="shared" si="417"/>
        <v>-0.30041387400676084</v>
      </c>
      <c r="BA461">
        <f t="shared" si="398"/>
        <v>1.6750494929470556</v>
      </c>
      <c r="BB461">
        <f t="shared" si="410"/>
        <v>4.4805528745766292</v>
      </c>
      <c r="BC461">
        <f t="shared" si="411"/>
        <v>-1.4114353171671885</v>
      </c>
      <c r="BD461">
        <f t="shared" si="399"/>
        <v>-260.8692868217953</v>
      </c>
      <c r="BF461">
        <f t="shared" si="400"/>
        <v>-43.8172508921378</v>
      </c>
      <c r="BG461">
        <f t="shared" si="401"/>
        <v>-171.57199729903908</v>
      </c>
      <c r="BH461">
        <f t="shared" si="412"/>
        <v>8.4280027009609171</v>
      </c>
      <c r="BI461">
        <f t="shared" si="413"/>
        <v>8.4280027009609171</v>
      </c>
      <c r="BJ461">
        <f t="shared" si="402"/>
        <v>0</v>
      </c>
      <c r="BK461">
        <f t="shared" si="414"/>
        <v>0</v>
      </c>
      <c r="BM461">
        <f t="shared" si="415"/>
        <v>-48.297803766714431</v>
      </c>
      <c r="BN461">
        <f t="shared" si="403"/>
        <v>-90.702710477243826</v>
      </c>
      <c r="BQ461" s="66">
        <f t="shared" si="416"/>
        <v>21.382513674861766</v>
      </c>
    </row>
    <row r="462" spans="1:69" x14ac:dyDescent="0.2">
      <c r="A462">
        <f t="shared" si="372"/>
        <v>1240000</v>
      </c>
      <c r="B462">
        <f t="shared" si="404"/>
        <v>1240</v>
      </c>
      <c r="C462">
        <f t="shared" si="373"/>
        <v>77.138864832079264</v>
      </c>
      <c r="D462">
        <f t="shared" si="374"/>
        <v>1.5578323298058845</v>
      </c>
      <c r="F462">
        <f t="shared" si="375"/>
        <v>3.3112370638687941E-6</v>
      </c>
      <c r="G462">
        <f t="shared" si="376"/>
        <v>7.4883186629180417E-4</v>
      </c>
      <c r="H462">
        <f t="shared" si="377"/>
        <v>-3.1408438181337086</v>
      </c>
      <c r="J462">
        <f t="shared" si="378"/>
        <v>15</v>
      </c>
      <c r="M462">
        <f t="shared" si="379"/>
        <v>2.7205638370563028E-3</v>
      </c>
      <c r="N462">
        <f t="shared" si="380"/>
        <v>-1.5707963250000001</v>
      </c>
      <c r="O462">
        <f t="shared" si="381"/>
        <v>367.43198404611024</v>
      </c>
      <c r="P462">
        <f t="shared" si="382"/>
        <v>1.5680747312944101</v>
      </c>
      <c r="Q462">
        <f t="shared" si="383"/>
        <v>509.07470827754037</v>
      </c>
      <c r="R462">
        <f t="shared" si="384"/>
        <v>1.5688319773058104</v>
      </c>
      <c r="S462">
        <f t="shared" si="385"/>
        <v>2.1602829578951419E-2</v>
      </c>
      <c r="T462">
        <f t="shared" si="386"/>
        <v>-1.5491918165868068</v>
      </c>
      <c r="U462">
        <f t="shared" si="387"/>
        <v>0.9903162761499581</v>
      </c>
      <c r="V462">
        <f t="shared" si="388"/>
        <v>-0.13927952771385654</v>
      </c>
      <c r="X462">
        <f t="shared" si="405"/>
        <v>-27.594865329040175</v>
      </c>
      <c r="Y462">
        <f t="shared" si="389"/>
        <v>-97.710643938859491</v>
      </c>
      <c r="Z462">
        <f t="shared" si="406"/>
        <v>82.289356061140509</v>
      </c>
      <c r="AC462">
        <v>1</v>
      </c>
      <c r="AD462">
        <f t="shared" si="390"/>
        <v>367.43062324752003</v>
      </c>
      <c r="AE462">
        <f t="shared" si="391"/>
        <v>-2.862707016540734E-3</v>
      </c>
      <c r="AF462">
        <f t="shared" si="392"/>
        <v>2.0420603552412001E-2</v>
      </c>
      <c r="AG462">
        <f t="shared" si="367"/>
        <v>17639.605964747756</v>
      </c>
      <c r="AH462">
        <f t="shared" si="368"/>
        <v>-2521.816930245167</v>
      </c>
      <c r="AJ462">
        <f t="shared" si="393"/>
        <v>18000</v>
      </c>
      <c r="AK462">
        <f t="shared" si="394"/>
        <v>833029.73362224002</v>
      </c>
      <c r="AL462">
        <v>1</v>
      </c>
      <c r="AM462">
        <f t="shared" si="395"/>
        <v>509.07372610248001</v>
      </c>
      <c r="AN462">
        <f t="shared" si="369"/>
        <v>1636.426778137399</v>
      </c>
      <c r="AO462">
        <f t="shared" si="370"/>
        <v>-32.143818042120884</v>
      </c>
      <c r="AQ462">
        <f t="shared" si="396"/>
        <v>1.6259102455270802E-3</v>
      </c>
      <c r="AR462">
        <f t="shared" si="397"/>
        <v>-4.0322574089071592</v>
      </c>
      <c r="AT462">
        <f t="shared" si="365"/>
        <v>-10139.934584823439</v>
      </c>
      <c r="AU462">
        <f t="shared" si="366"/>
        <v>-71131.532089541288</v>
      </c>
      <c r="AV462">
        <f t="shared" si="407"/>
        <v>-1.7123942242246417</v>
      </c>
      <c r="AW462">
        <f t="shared" si="408"/>
        <v>41137.518086638098</v>
      </c>
      <c r="AX462">
        <f t="shared" si="409"/>
        <v>-12738.028082742101</v>
      </c>
      <c r="AY462">
        <f t="shared" si="417"/>
        <v>-0.30028179069533795</v>
      </c>
      <c r="BA462">
        <f t="shared" si="398"/>
        <v>1.6684415196509821</v>
      </c>
      <c r="BB462">
        <f t="shared" si="410"/>
        <v>4.4462197770475305</v>
      </c>
      <c r="BC462">
        <f t="shared" si="411"/>
        <v>-1.4121124335293038</v>
      </c>
      <c r="BD462">
        <f t="shared" si="399"/>
        <v>-260.90808273162804</v>
      </c>
      <c r="BF462">
        <f t="shared" si="400"/>
        <v>-43.886684678303837</v>
      </c>
      <c r="BG462">
        <f t="shared" si="401"/>
        <v>-171.60796003717508</v>
      </c>
      <c r="BH462">
        <f t="shared" si="412"/>
        <v>8.3920399628249243</v>
      </c>
      <c r="BI462">
        <f t="shared" si="413"/>
        <v>8.3920399628249243</v>
      </c>
      <c r="BJ462">
        <f t="shared" si="402"/>
        <v>0</v>
      </c>
      <c r="BK462">
        <f t="shared" si="414"/>
        <v>0</v>
      </c>
      <c r="BM462">
        <f t="shared" si="415"/>
        <v>-48.332904455351368</v>
      </c>
      <c r="BN462">
        <f t="shared" si="403"/>
        <v>-90.69987730554702</v>
      </c>
      <c r="BQ462" s="66">
        <f t="shared" si="416"/>
        <v>21.348180577332666</v>
      </c>
    </row>
    <row r="463" spans="1:69" x14ac:dyDescent="0.2">
      <c r="A463">
        <f t="shared" si="372"/>
        <v>1245000</v>
      </c>
      <c r="B463">
        <f t="shared" si="404"/>
        <v>1245</v>
      </c>
      <c r="C463">
        <f t="shared" si="373"/>
        <v>77.449856474116572</v>
      </c>
      <c r="D463">
        <f t="shared" si="374"/>
        <v>1.5578843882526456</v>
      </c>
      <c r="F463">
        <f t="shared" si="375"/>
        <v>3.2846941078775295E-6</v>
      </c>
      <c r="G463">
        <f t="shared" si="376"/>
        <v>7.458244905524555E-4</v>
      </c>
      <c r="H463">
        <f t="shared" si="377"/>
        <v>-3.1408468255094477</v>
      </c>
      <c r="J463">
        <f t="shared" si="378"/>
        <v>15</v>
      </c>
      <c r="M463">
        <f t="shared" si="379"/>
        <v>2.7096378778713377E-3</v>
      </c>
      <c r="N463">
        <f t="shared" si="380"/>
        <v>-1.5707963250000001</v>
      </c>
      <c r="O463">
        <f t="shared" si="381"/>
        <v>368.91355367481577</v>
      </c>
      <c r="P463">
        <f t="shared" si="382"/>
        <v>1.5680856613431731</v>
      </c>
      <c r="Q463">
        <f t="shared" si="383"/>
        <v>511.12742097057981</v>
      </c>
      <c r="R463">
        <f t="shared" si="384"/>
        <v>1.5688398662394099</v>
      </c>
      <c r="S463">
        <f t="shared" si="385"/>
        <v>2.1516111472343454E-2</v>
      </c>
      <c r="T463">
        <f t="shared" si="386"/>
        <v>-1.5492785548542254</v>
      </c>
      <c r="U463">
        <f t="shared" si="387"/>
        <v>0.99023916614822993</v>
      </c>
      <c r="V463">
        <f t="shared" si="388"/>
        <v>-0.13983386065396886</v>
      </c>
      <c r="X463">
        <f t="shared" si="405"/>
        <v>-27.630485208059564</v>
      </c>
      <c r="Y463">
        <f t="shared" si="389"/>
        <v>-97.743485945841655</v>
      </c>
      <c r="Z463">
        <f t="shared" si="406"/>
        <v>82.256514054158345</v>
      </c>
      <c r="AC463">
        <v>1</v>
      </c>
      <c r="AD463">
        <f t="shared" si="390"/>
        <v>368.91219834126008</v>
      </c>
      <c r="AE463">
        <f t="shared" si="391"/>
        <v>-2.8858399085025695E-3</v>
      </c>
      <c r="AF463">
        <f t="shared" si="392"/>
        <v>2.05029446957685E-2</v>
      </c>
      <c r="AG463">
        <f t="shared" si="367"/>
        <v>17636.859090594011</v>
      </c>
      <c r="AH463">
        <f t="shared" si="368"/>
        <v>-2531.204790060392</v>
      </c>
      <c r="AJ463">
        <f t="shared" si="393"/>
        <v>18000</v>
      </c>
      <c r="AK463">
        <f t="shared" si="394"/>
        <v>836388.72448362003</v>
      </c>
      <c r="AL463">
        <v>1</v>
      </c>
      <c r="AM463">
        <f t="shared" si="395"/>
        <v>511.12644273999001</v>
      </c>
      <c r="AN463">
        <f t="shared" si="369"/>
        <v>1636.4262719948943</v>
      </c>
      <c r="AO463">
        <f t="shared" si="370"/>
        <v>-32.014727393646616</v>
      </c>
      <c r="AQ463">
        <f t="shared" si="396"/>
        <v>1.6128769515206284E-3</v>
      </c>
      <c r="AR463">
        <f t="shared" si="397"/>
        <v>-4.0160636092863644</v>
      </c>
      <c r="AT463">
        <f t="shared" si="365"/>
        <v>-10137.033361488437</v>
      </c>
      <c r="AU463">
        <f t="shared" si="366"/>
        <v>-70834.830497711475</v>
      </c>
      <c r="AV463">
        <f t="shared" si="407"/>
        <v>-1.7129392464964777</v>
      </c>
      <c r="AW463">
        <f t="shared" si="408"/>
        <v>41132.366892094869</v>
      </c>
      <c r="AX463">
        <f t="shared" si="409"/>
        <v>-12730.711889294666</v>
      </c>
      <c r="AY463">
        <f t="shared" si="417"/>
        <v>-0.30015486375656952</v>
      </c>
      <c r="BA463">
        <f t="shared" si="398"/>
        <v>1.6618849043831037</v>
      </c>
      <c r="BB463">
        <f t="shared" si="410"/>
        <v>4.4120188592125622</v>
      </c>
      <c r="BC463">
        <f t="shared" si="411"/>
        <v>-1.412784382739908</v>
      </c>
      <c r="BD463">
        <f t="shared" si="399"/>
        <v>-260.94658258548685</v>
      </c>
      <c r="BF463">
        <f t="shared" si="400"/>
        <v>-43.955844985048202</v>
      </c>
      <c r="BG463">
        <f t="shared" si="401"/>
        <v>-171.64364947168048</v>
      </c>
      <c r="BH463">
        <f t="shared" si="412"/>
        <v>8.3563505283195241</v>
      </c>
      <c r="BI463">
        <f t="shared" si="413"/>
        <v>8.3563505283195241</v>
      </c>
      <c r="BJ463">
        <f t="shared" si="402"/>
        <v>0</v>
      </c>
      <c r="BK463">
        <f t="shared" si="414"/>
        <v>0</v>
      </c>
      <c r="BM463">
        <f t="shared" si="415"/>
        <v>-48.367863844260761</v>
      </c>
      <c r="BN463">
        <f t="shared" si="403"/>
        <v>-90.697066886193639</v>
      </c>
      <c r="BQ463" s="66">
        <f t="shared" si="416"/>
        <v>21.313979659497697</v>
      </c>
    </row>
    <row r="464" spans="1:69" x14ac:dyDescent="0.2">
      <c r="A464">
        <f t="shared" si="372"/>
        <v>1250000</v>
      </c>
      <c r="B464">
        <f t="shared" si="404"/>
        <v>1250</v>
      </c>
      <c r="C464">
        <f t="shared" si="373"/>
        <v>77.760848324370471</v>
      </c>
      <c r="D464">
        <f t="shared" si="374"/>
        <v>1.5579360303009846</v>
      </c>
      <c r="F464">
        <f t="shared" si="375"/>
        <v>3.25846903117836E-6</v>
      </c>
      <c r="G464">
        <f t="shared" si="376"/>
        <v>7.428411740438265E-4</v>
      </c>
      <c r="H464">
        <f t="shared" si="377"/>
        <v>-3.1408498088259562</v>
      </c>
      <c r="J464">
        <f t="shared" si="378"/>
        <v>15</v>
      </c>
      <c r="M464">
        <f t="shared" si="379"/>
        <v>2.6987993263598523E-3</v>
      </c>
      <c r="N464">
        <f t="shared" si="380"/>
        <v>-1.5707963250000001</v>
      </c>
      <c r="O464">
        <f t="shared" si="381"/>
        <v>370.39512334724139</v>
      </c>
      <c r="P464">
        <f t="shared" si="382"/>
        <v>1.5680965039521857</v>
      </c>
      <c r="Q464">
        <f t="shared" si="383"/>
        <v>513.18013369517485</v>
      </c>
      <c r="R464">
        <f t="shared" si="384"/>
        <v>1.5688476920617813</v>
      </c>
      <c r="S464">
        <f t="shared" si="385"/>
        <v>2.1430086630762318E-2</v>
      </c>
      <c r="T464">
        <f t="shared" si="386"/>
        <v>-1.5493645995354626</v>
      </c>
      <c r="U464">
        <f t="shared" si="387"/>
        <v>0.99016176396300803</v>
      </c>
      <c r="V464">
        <f t="shared" si="388"/>
        <v>-0.14038810710534447</v>
      </c>
      <c r="X464">
        <f t="shared" si="405"/>
        <v>-27.665967726177399</v>
      </c>
      <c r="Y464">
        <f t="shared" si="389"/>
        <v>-97.776314363138752</v>
      </c>
      <c r="Z464">
        <f t="shared" si="406"/>
        <v>82.223685636861248</v>
      </c>
      <c r="AC464">
        <v>1</v>
      </c>
      <c r="AD464">
        <f t="shared" si="390"/>
        <v>370.39377343500001</v>
      </c>
      <c r="AE464">
        <f t="shared" si="391"/>
        <v>-2.9090658905729038E-3</v>
      </c>
      <c r="AF464">
        <f t="shared" si="392"/>
        <v>2.0585285839125E-2</v>
      </c>
      <c r="AG464">
        <f t="shared" si="367"/>
        <v>17634.102023154377</v>
      </c>
      <c r="AH464">
        <f t="shared" si="368"/>
        <v>-2540.5896772655183</v>
      </c>
      <c r="AJ464">
        <f t="shared" si="393"/>
        <v>18000</v>
      </c>
      <c r="AK464">
        <f t="shared" si="394"/>
        <v>839747.71534499992</v>
      </c>
      <c r="AL464">
        <v>1</v>
      </c>
      <c r="AM464">
        <f t="shared" si="395"/>
        <v>513.17915937750001</v>
      </c>
      <c r="AN464">
        <f t="shared" si="369"/>
        <v>1636.4257719139132</v>
      </c>
      <c r="AO464">
        <f t="shared" si="370"/>
        <v>-31.886669458548432</v>
      </c>
      <c r="AQ464">
        <f t="shared" si="396"/>
        <v>1.599999744000041E-3</v>
      </c>
      <c r="AR464">
        <f t="shared" si="397"/>
        <v>-3.9999993600001025</v>
      </c>
      <c r="AT464">
        <f t="shared" si="365"/>
        <v>-10134.142524362223</v>
      </c>
      <c r="AU464">
        <f t="shared" si="366"/>
        <v>-70540.461749627255</v>
      </c>
      <c r="AV464">
        <f t="shared" si="407"/>
        <v>-1.7134842567642852</v>
      </c>
      <c r="AW464">
        <f t="shared" si="408"/>
        <v>41127.180584553789</v>
      </c>
      <c r="AX464">
        <f t="shared" si="409"/>
        <v>-12723.61629931441</v>
      </c>
      <c r="AY464">
        <f t="shared" si="417"/>
        <v>-0.30003303149833693</v>
      </c>
      <c r="BA464">
        <f t="shared" si="398"/>
        <v>1.6553790574512377</v>
      </c>
      <c r="BB464">
        <f t="shared" si="410"/>
        <v>4.3779491309342786</v>
      </c>
      <c r="BC464">
        <f t="shared" si="411"/>
        <v>-1.4134512252659484</v>
      </c>
      <c r="BD464">
        <f t="shared" si="399"/>
        <v>-260.98478984787243</v>
      </c>
      <c r="BF464">
        <f t="shared" si="400"/>
        <v>-44.024733935762626</v>
      </c>
      <c r="BG464">
        <f t="shared" si="401"/>
        <v>-171.67906879409256</v>
      </c>
      <c r="BH464">
        <f t="shared" si="412"/>
        <v>8.3209312059074421</v>
      </c>
      <c r="BI464">
        <f t="shared" si="413"/>
        <v>8.3209312059074421</v>
      </c>
      <c r="BJ464">
        <f t="shared" si="402"/>
        <v>0</v>
      </c>
      <c r="BK464">
        <f t="shared" si="414"/>
        <v>0</v>
      </c>
      <c r="BM464">
        <f t="shared" si="415"/>
        <v>-48.402683066696909</v>
      </c>
      <c r="BN464">
        <f t="shared" si="403"/>
        <v>-90.694278946220123</v>
      </c>
      <c r="BQ464" s="66">
        <f t="shared" si="416"/>
        <v>21.279909931219414</v>
      </c>
    </row>
    <row r="465" spans="1:69" x14ac:dyDescent="0.2">
      <c r="A465">
        <f t="shared" si="372"/>
        <v>1255000</v>
      </c>
      <c r="B465">
        <f t="shared" si="404"/>
        <v>1255</v>
      </c>
      <c r="C465">
        <f t="shared" si="373"/>
        <v>78.071840380352697</v>
      </c>
      <c r="D465">
        <f t="shared" si="374"/>
        <v>1.5579872609266798</v>
      </c>
      <c r="F465">
        <f t="shared" si="375"/>
        <v>3.2325567780453234E-6</v>
      </c>
      <c r="G465">
        <f t="shared" si="376"/>
        <v>7.3988162920182927E-4</v>
      </c>
      <c r="H465">
        <f t="shared" si="377"/>
        <v>-3.1408527683707983</v>
      </c>
      <c r="J465">
        <f t="shared" si="378"/>
        <v>15</v>
      </c>
      <c r="M465">
        <f t="shared" si="379"/>
        <v>2.6880471378086176E-3</v>
      </c>
      <c r="N465">
        <f t="shared" si="380"/>
        <v>-1.5707963250000001</v>
      </c>
      <c r="O465">
        <f t="shared" si="381"/>
        <v>371.87669306286443</v>
      </c>
      <c r="P465">
        <f t="shared" si="382"/>
        <v>1.5681072601665347</v>
      </c>
      <c r="Q465">
        <f t="shared" si="383"/>
        <v>515.2328464509485</v>
      </c>
      <c r="R465">
        <f t="shared" si="384"/>
        <v>1.5688554555272383</v>
      </c>
      <c r="S465">
        <f t="shared" si="385"/>
        <v>2.1344746775768444E-2</v>
      </c>
      <c r="T465">
        <f t="shared" si="386"/>
        <v>-1.5494499589153272</v>
      </c>
      <c r="U465">
        <f t="shared" si="387"/>
        <v>0.99008406980544827</v>
      </c>
      <c r="V465">
        <f t="shared" si="388"/>
        <v>-0.14094226674778609</v>
      </c>
      <c r="X465">
        <f t="shared" si="405"/>
        <v>-27.701313998805897</v>
      </c>
      <c r="Y465">
        <f t="shared" si="389"/>
        <v>-97.809129275376492</v>
      </c>
      <c r="Z465">
        <f t="shared" si="406"/>
        <v>82.190870724623508</v>
      </c>
      <c r="AC465">
        <v>1</v>
      </c>
      <c r="AD465">
        <f t="shared" si="390"/>
        <v>371.87534852874001</v>
      </c>
      <c r="AE465">
        <f t="shared" si="391"/>
        <v>-2.9323849627517357E-3</v>
      </c>
      <c r="AF465">
        <f t="shared" si="392"/>
        <v>2.06676269824815E-2</v>
      </c>
      <c r="AG465">
        <f t="shared" si="367"/>
        <v>17631.334772389986</v>
      </c>
      <c r="AH465">
        <f t="shared" si="368"/>
        <v>-2549.9715571831184</v>
      </c>
      <c r="AJ465">
        <f t="shared" si="393"/>
        <v>18000</v>
      </c>
      <c r="AK465">
        <f t="shared" si="394"/>
        <v>843106.70620637992</v>
      </c>
      <c r="AL465">
        <v>1</v>
      </c>
      <c r="AM465">
        <f t="shared" si="395"/>
        <v>515.23187601501002</v>
      </c>
      <c r="AN465">
        <f t="shared" si="369"/>
        <v>1636.4252777980512</v>
      </c>
      <c r="AO465">
        <f t="shared" si="370"/>
        <v>-31.759631893825681</v>
      </c>
      <c r="AQ465">
        <f t="shared" si="396"/>
        <v>1.5872761404936207E-3</v>
      </c>
      <c r="AR465">
        <f t="shared" si="397"/>
        <v>-3.9840631126389878</v>
      </c>
      <c r="AT465">
        <f t="shared" si="365"/>
        <v>-10131.26182224259</v>
      </c>
      <c r="AU465">
        <f t="shared" si="366"/>
        <v>-70248.398002279719</v>
      </c>
      <c r="AV465">
        <f t="shared" si="407"/>
        <v>-1.7140292538176218</v>
      </c>
      <c r="AW465">
        <f t="shared" si="408"/>
        <v>41121.959380636021</v>
      </c>
      <c r="AX465">
        <f t="shared" si="409"/>
        <v>-12716.738517921209</v>
      </c>
      <c r="AY465">
        <f t="shared" si="417"/>
        <v>-0.29991623317715327</v>
      </c>
      <c r="BA465">
        <f t="shared" si="398"/>
        <v>1.6489233980501983</v>
      </c>
      <c r="BB465">
        <f t="shared" si="410"/>
        <v>4.3440096128681791</v>
      </c>
      <c r="BC465">
        <f t="shared" si="411"/>
        <v>-1.4141130206404686</v>
      </c>
      <c r="BD465">
        <f t="shared" si="399"/>
        <v>-261.02270792977708</v>
      </c>
      <c r="BF465">
        <f t="shared" si="400"/>
        <v>-44.093353629464637</v>
      </c>
      <c r="BG465">
        <f t="shared" si="401"/>
        <v>-171.71422114678859</v>
      </c>
      <c r="BH465">
        <f t="shared" si="412"/>
        <v>8.2857788532114114</v>
      </c>
      <c r="BI465">
        <f t="shared" si="413"/>
        <v>8.2857788532114114</v>
      </c>
      <c r="BJ465">
        <f t="shared" si="402"/>
        <v>0</v>
      </c>
      <c r="BK465">
        <f t="shared" si="414"/>
        <v>0</v>
      </c>
      <c r="BM465">
        <f t="shared" si="415"/>
        <v>-48.437363242332822</v>
      </c>
      <c r="BN465">
        <f t="shared" si="403"/>
        <v>-90.691513217011547</v>
      </c>
      <c r="BQ465" s="66">
        <f t="shared" si="416"/>
        <v>21.245970413153316</v>
      </c>
    </row>
    <row r="466" spans="1:69" x14ac:dyDescent="0.2">
      <c r="A466">
        <f t="shared" si="372"/>
        <v>1260000</v>
      </c>
      <c r="B466">
        <f t="shared" si="404"/>
        <v>1260</v>
      </c>
      <c r="C466">
        <f t="shared" si="373"/>
        <v>78.382832639614506</v>
      </c>
      <c r="D466">
        <f t="shared" si="374"/>
        <v>1.5580380850265503</v>
      </c>
      <c r="F466">
        <f t="shared" si="375"/>
        <v>3.2069523928656495E-6</v>
      </c>
      <c r="G466">
        <f t="shared" si="376"/>
        <v>7.3694557302695577E-4</v>
      </c>
      <c r="H466">
        <f t="shared" si="377"/>
        <v>-3.1408557044269734</v>
      </c>
      <c r="J466">
        <f t="shared" si="378"/>
        <v>15</v>
      </c>
      <c r="M466">
        <f t="shared" si="379"/>
        <v>2.6773802840871549E-3</v>
      </c>
      <c r="N466">
        <f t="shared" si="380"/>
        <v>-1.5707963250000001</v>
      </c>
      <c r="O466">
        <f t="shared" si="381"/>
        <v>373.35826282117074</v>
      </c>
      <c r="P466">
        <f t="shared" si="382"/>
        <v>1.5681179310147182</v>
      </c>
      <c r="Q466">
        <f t="shared" si="383"/>
        <v>517.28555923752947</v>
      </c>
      <c r="R466">
        <f t="shared" si="384"/>
        <v>1.5688631573781211</v>
      </c>
      <c r="S466">
        <f t="shared" si="385"/>
        <v>2.1260083760176369E-2</v>
      </c>
      <c r="T466">
        <f t="shared" si="386"/>
        <v>-1.5495346411472226</v>
      </c>
      <c r="U466">
        <f t="shared" si="387"/>
        <v>0.99000608388741429</v>
      </c>
      <c r="V466">
        <f t="shared" si="388"/>
        <v>-0.14149633926140998</v>
      </c>
      <c r="X466">
        <f t="shared" si="405"/>
        <v>-27.736525128047536</v>
      </c>
      <c r="Y466">
        <f t="shared" si="389"/>
        <v>-97.84193076556852</v>
      </c>
      <c r="Z466">
        <f t="shared" si="406"/>
        <v>82.15806923443148</v>
      </c>
      <c r="AC466">
        <v>1</v>
      </c>
      <c r="AD466">
        <f t="shared" si="390"/>
        <v>373.35692362248005</v>
      </c>
      <c r="AE466">
        <f t="shared" si="391"/>
        <v>-2.9557971250390664E-3</v>
      </c>
      <c r="AF466">
        <f t="shared" si="392"/>
        <v>2.0749968125838004E-2</v>
      </c>
      <c r="AG466">
        <f t="shared" si="367"/>
        <v>17628.557348293998</v>
      </c>
      <c r="AH466">
        <f t="shared" si="368"/>
        <v>-2559.3503954613407</v>
      </c>
      <c r="AJ466">
        <f t="shared" si="393"/>
        <v>18000</v>
      </c>
      <c r="AK466">
        <f t="shared" si="394"/>
        <v>846465.69706775993</v>
      </c>
      <c r="AL466">
        <v>1</v>
      </c>
      <c r="AM466">
        <f t="shared" si="395"/>
        <v>517.2845926525199</v>
      </c>
      <c r="AN466">
        <f t="shared" si="369"/>
        <v>1636.4247895528126</v>
      </c>
      <c r="AO466">
        <f t="shared" si="370"/>
        <v>-31.633602552394656</v>
      </c>
      <c r="AQ466">
        <f t="shared" si="396"/>
        <v>1.5747037076871209E-3</v>
      </c>
      <c r="AR466">
        <f t="shared" si="397"/>
        <v>-3.9682533433715448</v>
      </c>
      <c r="AT466">
        <f t="shared" si="365"/>
        <v>-10128.391009031218</v>
      </c>
      <c r="AU466">
        <f t="shared" si="366"/>
        <v>-69958.61185474167</v>
      </c>
      <c r="AV466">
        <f t="shared" si="407"/>
        <v>-1.714574236460489</v>
      </c>
      <c r="AW466">
        <f t="shared" si="408"/>
        <v>41116.703493188346</v>
      </c>
      <c r="AX466">
        <f t="shared" si="409"/>
        <v>-12710.075794102069</v>
      </c>
      <c r="AY466">
        <f t="shared" si="417"/>
        <v>-0.29980440898003252</v>
      </c>
      <c r="BA466">
        <f t="shared" si="398"/>
        <v>1.6425173540971179</v>
      </c>
      <c r="BB466">
        <f t="shared" si="410"/>
        <v>4.3101993363112703</v>
      </c>
      <c r="BC466">
        <f t="shared" si="411"/>
        <v>-1.4147698274804565</v>
      </c>
      <c r="BD466">
        <f t="shared" si="399"/>
        <v>-261.06034018970672</v>
      </c>
      <c r="BF466">
        <f t="shared" si="400"/>
        <v>-44.161706141165141</v>
      </c>
      <c r="BG466">
        <f t="shared" si="401"/>
        <v>-171.74910962392221</v>
      </c>
      <c r="BH466">
        <f t="shared" si="412"/>
        <v>8.2508903760777912</v>
      </c>
      <c r="BI466">
        <f t="shared" si="413"/>
        <v>8.2508903760777912</v>
      </c>
      <c r="BJ466">
        <f t="shared" si="402"/>
        <v>0</v>
      </c>
      <c r="BK466">
        <f t="shared" si="414"/>
        <v>0</v>
      </c>
      <c r="BM466">
        <f t="shared" si="415"/>
        <v>-48.471905477476412</v>
      </c>
      <c r="BN466">
        <f t="shared" si="403"/>
        <v>-90.688769434215516</v>
      </c>
      <c r="BQ466" s="66">
        <f t="shared" si="416"/>
        <v>21.212160136596406</v>
      </c>
    </row>
    <row r="467" spans="1:69" x14ac:dyDescent="0.2">
      <c r="A467">
        <f t="shared" si="372"/>
        <v>1265000</v>
      </c>
      <c r="B467">
        <f t="shared" si="404"/>
        <v>1265</v>
      </c>
      <c r="C467">
        <f t="shared" si="373"/>
        <v>78.693825099745879</v>
      </c>
      <c r="D467">
        <f t="shared" si="374"/>
        <v>1.5580885074200166</v>
      </c>
      <c r="F467">
        <f t="shared" si="375"/>
        <v>3.181651017770219E-6</v>
      </c>
      <c r="G467">
        <f t="shared" si="376"/>
        <v>7.3403272699406664E-4</v>
      </c>
      <c r="H467">
        <f t="shared" si="377"/>
        <v>-3.1408586172730062</v>
      </c>
      <c r="J467">
        <f t="shared" si="378"/>
        <v>15</v>
      </c>
      <c r="M467">
        <f t="shared" si="379"/>
        <v>2.6667977533200121E-3</v>
      </c>
      <c r="N467">
        <f t="shared" si="380"/>
        <v>-1.5707963250000001</v>
      </c>
      <c r="O467">
        <f t="shared" si="381"/>
        <v>374.83983262165412</v>
      </c>
      <c r="P467">
        <f t="shared" si="382"/>
        <v>1.5681285175089732</v>
      </c>
      <c r="Q467">
        <f t="shared" si="383"/>
        <v>519.33827205455236</v>
      </c>
      <c r="R467">
        <f t="shared" si="384"/>
        <v>1.5688707983450338</v>
      </c>
      <c r="S467">
        <f t="shared" si="385"/>
        <v>2.1176089565464264E-2</v>
      </c>
      <c r="T467">
        <f t="shared" si="386"/>
        <v>-1.5496186542557417</v>
      </c>
      <c r="U467">
        <f t="shared" si="387"/>
        <v>0.98992780642147515</v>
      </c>
      <c r="V467">
        <f t="shared" si="388"/>
        <v>-0.14205032432664697</v>
      </c>
      <c r="X467">
        <f t="shared" si="405"/>
        <v>-27.77160220290563</v>
      </c>
      <c r="Y467">
        <f t="shared" si="389"/>
        <v>-97.874718915148591</v>
      </c>
      <c r="Z467">
        <f t="shared" si="406"/>
        <v>82.125281084851409</v>
      </c>
      <c r="AC467">
        <v>1</v>
      </c>
      <c r="AD467">
        <f t="shared" si="390"/>
        <v>374.83849871622004</v>
      </c>
      <c r="AE467">
        <f t="shared" si="391"/>
        <v>-2.9793023774348955E-3</v>
      </c>
      <c r="AF467">
        <f t="shared" si="392"/>
        <v>2.08323092691945E-2</v>
      </c>
      <c r="AG467">
        <f t="shared" si="367"/>
        <v>17625.769760891522</v>
      </c>
      <c r="AH467">
        <f t="shared" si="368"/>
        <v>-2568.7261580680879</v>
      </c>
      <c r="AJ467">
        <f t="shared" si="393"/>
        <v>18000</v>
      </c>
      <c r="AK467">
        <f t="shared" si="394"/>
        <v>849824.68792913994</v>
      </c>
      <c r="AL467">
        <v>1</v>
      </c>
      <c r="AM467">
        <f t="shared" si="395"/>
        <v>519.33730929003002</v>
      </c>
      <c r="AN467">
        <f t="shared" si="369"/>
        <v>1636.4243070855653</v>
      </c>
      <c r="AO467">
        <f t="shared" si="370"/>
        <v>-31.508569479216845</v>
      </c>
      <c r="AQ467">
        <f t="shared" si="396"/>
        <v>1.5622800602602665E-3</v>
      </c>
      <c r="AR467">
        <f t="shared" si="397"/>
        <v>-3.9525685524584744</v>
      </c>
      <c r="AT467">
        <f t="shared" si="365"/>
        <v>-10125.529843613222</v>
      </c>
      <c r="AU467">
        <f t="shared" si="366"/>
        <v>-69671.076339430365</v>
      </c>
      <c r="AV467">
        <f t="shared" si="407"/>
        <v>-1.7151192035110543</v>
      </c>
      <c r="AW467">
        <f t="shared" si="408"/>
        <v>41111.413131374036</v>
      </c>
      <c r="AX467">
        <f t="shared" si="409"/>
        <v>-12703.625419845346</v>
      </c>
      <c r="AY467">
        <f t="shared" si="417"/>
        <v>-0.2996975000067687</v>
      </c>
      <c r="BA467">
        <f t="shared" si="398"/>
        <v>1.6361603620703602</v>
      </c>
      <c r="BB467">
        <f t="shared" si="410"/>
        <v>4.2765173430531265</v>
      </c>
      <c r="BC467">
        <f t="shared" si="411"/>
        <v>-1.4154217035042855</v>
      </c>
      <c r="BD467">
        <f t="shared" si="399"/>
        <v>-261.09768993468055</v>
      </c>
      <c r="BF467">
        <f t="shared" si="400"/>
        <v>-44.229793522229286</v>
      </c>
      <c r="BG467">
        <f t="shared" si="401"/>
        <v>-171.78373727233844</v>
      </c>
      <c r="BH467">
        <f t="shared" si="412"/>
        <v>8.2162627276615581</v>
      </c>
      <c r="BI467">
        <f t="shared" si="413"/>
        <v>8.2162627276615581</v>
      </c>
      <c r="BJ467">
        <f t="shared" si="402"/>
        <v>0</v>
      </c>
      <c r="BK467">
        <f t="shared" si="414"/>
        <v>0</v>
      </c>
      <c r="BM467">
        <f t="shared" si="415"/>
        <v>-48.506310865282416</v>
      </c>
      <c r="BN467">
        <f t="shared" si="403"/>
        <v>-90.686047337657897</v>
      </c>
      <c r="BQ467" s="66">
        <f t="shared" si="416"/>
        <v>21.178478143338264</v>
      </c>
    </row>
    <row r="468" spans="1:69" x14ac:dyDescent="0.2">
      <c r="A468">
        <f t="shared" si="372"/>
        <v>1270000</v>
      </c>
      <c r="B468">
        <f t="shared" si="404"/>
        <v>1270</v>
      </c>
      <c r="C468">
        <f t="shared" si="373"/>
        <v>79.004817758374699</v>
      </c>
      <c r="D468">
        <f t="shared" si="374"/>
        <v>1.5581385328506228</v>
      </c>
      <c r="F468">
        <f t="shared" si="375"/>
        <v>3.1566478903291992E-6</v>
      </c>
      <c r="G468">
        <f t="shared" si="376"/>
        <v>7.3114281696431179E-4</v>
      </c>
      <c r="H468">
        <f t="shared" si="377"/>
        <v>-3.1408615071830357</v>
      </c>
      <c r="J468">
        <f t="shared" si="378"/>
        <v>15</v>
      </c>
      <c r="M468">
        <f t="shared" si="379"/>
        <v>2.6562985495667837E-3</v>
      </c>
      <c r="N468">
        <f t="shared" si="380"/>
        <v>-1.5707963250000001</v>
      </c>
      <c r="O468">
        <f t="shared" si="381"/>
        <v>376.32140246381653</v>
      </c>
      <c r="P468">
        <f t="shared" si="382"/>
        <v>1.5681390206455965</v>
      </c>
      <c r="Q468">
        <f t="shared" si="383"/>
        <v>521.39098490165793</v>
      </c>
      <c r="R468">
        <f t="shared" si="384"/>
        <v>1.5688783791470751</v>
      </c>
      <c r="S468">
        <f t="shared" si="385"/>
        <v>2.1092756299244616E-2</v>
      </c>
      <c r="T468">
        <f t="shared" si="386"/>
        <v>-1.5497020061392006</v>
      </c>
      <c r="U468">
        <f t="shared" si="387"/>
        <v>0.98984923762090404</v>
      </c>
      <c r="V468">
        <f t="shared" si="388"/>
        <v>-0.14260422162424347</v>
      </c>
      <c r="X468">
        <f t="shared" si="405"/>
        <v>-27.80654629949062</v>
      </c>
      <c r="Y468">
        <f t="shared" si="389"/>
        <v>-97.907493804002044</v>
      </c>
      <c r="Z468">
        <f t="shared" si="406"/>
        <v>82.092506195997956</v>
      </c>
      <c r="AC468">
        <v>1</v>
      </c>
      <c r="AD468">
        <f t="shared" si="390"/>
        <v>376.32007380996004</v>
      </c>
      <c r="AE468">
        <f t="shared" si="391"/>
        <v>-3.0029007199392226E-3</v>
      </c>
      <c r="AF468">
        <f t="shared" si="392"/>
        <v>2.0914650412551E-2</v>
      </c>
      <c r="AG468">
        <f t="shared" si="367"/>
        <v>17622.972020239504</v>
      </c>
      <c r="AH468">
        <f t="shared" si="368"/>
        <v>-2578.0988112853306</v>
      </c>
      <c r="AJ468">
        <f t="shared" si="393"/>
        <v>18000</v>
      </c>
      <c r="AK468">
        <f t="shared" si="394"/>
        <v>853183.67879052006</v>
      </c>
      <c r="AL468">
        <v>1</v>
      </c>
      <c r="AM468">
        <f t="shared" si="395"/>
        <v>521.39002592754002</v>
      </c>
      <c r="AN468">
        <f t="shared" si="369"/>
        <v>1636.4238303054974</v>
      </c>
      <c r="AO468">
        <f t="shared" si="370"/>
        <v>-31.384520907518525</v>
      </c>
      <c r="AQ468">
        <f t="shared" si="396"/>
        <v>1.5500028597552763E-3</v>
      </c>
      <c r="AR468">
        <f t="shared" si="397"/>
        <v>-3.9370072637784017</v>
      </c>
      <c r="AT468">
        <f t="shared" si="365"/>
        <v>-10122.678089740049</v>
      </c>
      <c r="AU468">
        <f t="shared" si="366"/>
        <v>-69385.764913576684</v>
      </c>
      <c r="AV468">
        <f t="shared" si="407"/>
        <v>-1.7156641538013795</v>
      </c>
      <c r="AW468">
        <f t="shared" si="408"/>
        <v>41106.0885007611</v>
      </c>
      <c r="AX468">
        <f t="shared" si="409"/>
        <v>-12697.384729295432</v>
      </c>
      <c r="AY468">
        <f t="shared" si="417"/>
        <v>-0.29959544825261791</v>
      </c>
      <c r="BA468">
        <f t="shared" si="398"/>
        <v>1.6298518668519457</v>
      </c>
      <c r="BB468">
        <f t="shared" si="410"/>
        <v>4.24296268522947</v>
      </c>
      <c r="BC468">
        <f t="shared" si="411"/>
        <v>-1.4160687055487615</v>
      </c>
      <c r="BD468">
        <f t="shared" si="399"/>
        <v>-261.13476042120772</v>
      </c>
      <c r="BF468">
        <f t="shared" si="400"/>
        <v>-44.297617800730606</v>
      </c>
      <c r="BG468">
        <f t="shared" si="401"/>
        <v>-171.8181070924683</v>
      </c>
      <c r="BH468">
        <f t="shared" si="412"/>
        <v>8.1818929075317044</v>
      </c>
      <c r="BI468">
        <f t="shared" si="413"/>
        <v>8.1818929075317044</v>
      </c>
      <c r="BJ468">
        <f t="shared" si="402"/>
        <v>0</v>
      </c>
      <c r="BK468">
        <f t="shared" si="414"/>
        <v>0</v>
      </c>
      <c r="BM468">
        <f t="shared" si="415"/>
        <v>-48.540580485960064</v>
      </c>
      <c r="BN468">
        <f t="shared" si="403"/>
        <v>-90.683346671260608</v>
      </c>
      <c r="BQ468" s="66">
        <f t="shared" si="416"/>
        <v>21.14492348551461</v>
      </c>
    </row>
    <row r="469" spans="1:69" x14ac:dyDescent="0.2">
      <c r="A469">
        <f t="shared" si="372"/>
        <v>1275000</v>
      </c>
      <c r="B469">
        <f t="shared" si="404"/>
        <v>1275</v>
      </c>
      <c r="C469">
        <f t="shared" si="373"/>
        <v>79.315810613166079</v>
      </c>
      <c r="D469">
        <f t="shared" si="374"/>
        <v>1.5581881659875245</v>
      </c>
      <c r="F469">
        <f t="shared" si="375"/>
        <v>3.1319383413108154E-6</v>
      </c>
      <c r="G469">
        <f t="shared" si="376"/>
        <v>7.2827557309912275E-4</v>
      </c>
      <c r="H469">
        <f t="shared" si="377"/>
        <v>-3.1408643744269011</v>
      </c>
      <c r="J469">
        <f t="shared" si="378"/>
        <v>15</v>
      </c>
      <c r="M469">
        <f t="shared" si="379"/>
        <v>2.6458816925096591E-3</v>
      </c>
      <c r="N469">
        <f t="shared" si="380"/>
        <v>-1.5707963250000001</v>
      </c>
      <c r="O469">
        <f t="shared" si="381"/>
        <v>377.8029723471675</v>
      </c>
      <c r="P469">
        <f t="shared" si="382"/>
        <v>1.5681494414052575</v>
      </c>
      <c r="Q469">
        <f t="shared" si="383"/>
        <v>523.44369777849192</v>
      </c>
      <c r="R469">
        <f t="shared" si="384"/>
        <v>1.5688859004920632</v>
      </c>
      <c r="S469">
        <f t="shared" si="385"/>
        <v>2.1010076192794314E-2</v>
      </c>
      <c r="T469">
        <f t="shared" si="386"/>
        <v>-1.5497847045721118</v>
      </c>
      <c r="U469">
        <f t="shared" si="387"/>
        <v>0.98977037769967657</v>
      </c>
      <c r="V469">
        <f t="shared" si="388"/>
        <v>-0.14315803083526241</v>
      </c>
      <c r="X469">
        <f t="shared" si="405"/>
        <v>-27.841358481222422</v>
      </c>
      <c r="Y469">
        <f t="shared" si="389"/>
        <v>-97.940255510496385</v>
      </c>
      <c r="Z469">
        <f t="shared" si="406"/>
        <v>82.059744489503615</v>
      </c>
      <c r="AC469">
        <v>1</v>
      </c>
      <c r="AD469">
        <f t="shared" si="390"/>
        <v>377.80164890370008</v>
      </c>
      <c r="AE469">
        <f t="shared" si="391"/>
        <v>-3.0265921525520485E-3</v>
      </c>
      <c r="AF469">
        <f t="shared" si="392"/>
        <v>2.09969915559075E-2</v>
      </c>
      <c r="AG469">
        <f t="shared" si="367"/>
        <v>17620.164136426676</v>
      </c>
      <c r="AH469">
        <f t="shared" si="368"/>
        <v>-2587.4683217035699</v>
      </c>
      <c r="AJ469">
        <f t="shared" si="393"/>
        <v>18000</v>
      </c>
      <c r="AK469">
        <f t="shared" si="394"/>
        <v>856542.66965189984</v>
      </c>
      <c r="AL469">
        <v>1</v>
      </c>
      <c r="AM469">
        <f t="shared" si="395"/>
        <v>523.44274256505003</v>
      </c>
      <c r="AN469">
        <f t="shared" si="369"/>
        <v>1636.4233591235734</v>
      </c>
      <c r="AO469">
        <f t="shared" si="370"/>
        <v>-31.261445255099453</v>
      </c>
      <c r="AQ469">
        <f t="shared" si="396"/>
        <v>1.537869813476384E-3</v>
      </c>
      <c r="AR469">
        <f t="shared" si="397"/>
        <v>-3.9215680243647792</v>
      </c>
      <c r="AT469">
        <f t="shared" si="365"/>
        <v>-10119.835515915609</v>
      </c>
      <c r="AU469">
        <f t="shared" si="366"/>
        <v>-69102.651450895166</v>
      </c>
      <c r="AV469">
        <f t="shared" si="407"/>
        <v>-1.716209086177156</v>
      </c>
      <c r="AW469">
        <f t="shared" si="408"/>
        <v>41100.729803408343</v>
      </c>
      <c r="AX469">
        <f t="shared" si="409"/>
        <v>-12691.351097927341</v>
      </c>
      <c r="AY469">
        <f t="shared" si="417"/>
        <v>-0.29949819659136873</v>
      </c>
      <c r="BA469">
        <f t="shared" si="398"/>
        <v>1.6235913215733957</v>
      </c>
      <c r="BB469">
        <f t="shared" si="410"/>
        <v>4.2095344251781901</v>
      </c>
      <c r="BC469">
        <f t="shared" si="411"/>
        <v>-1.4167108895857872</v>
      </c>
      <c r="BD469">
        <f t="shared" si="399"/>
        <v>-261.17155485624198</v>
      </c>
      <c r="BF469">
        <f t="shared" si="400"/>
        <v>-44.365180981798595</v>
      </c>
      <c r="BG469">
        <f t="shared" si="401"/>
        <v>-171.85222203920338</v>
      </c>
      <c r="BH469">
        <f t="shared" si="412"/>
        <v>8.147777960796617</v>
      </c>
      <c r="BI469">
        <f t="shared" si="413"/>
        <v>8.147777960796617</v>
      </c>
      <c r="BJ469">
        <f t="shared" si="402"/>
        <v>0</v>
      </c>
      <c r="BK469">
        <f t="shared" si="414"/>
        <v>0</v>
      </c>
      <c r="BM469">
        <f t="shared" si="415"/>
        <v>-48.574715406976793</v>
      </c>
      <c r="BN469">
        <f t="shared" si="403"/>
        <v>-90.6806671829614</v>
      </c>
      <c r="BQ469" s="66">
        <f t="shared" si="416"/>
        <v>21.111495225463326</v>
      </c>
    </row>
    <row r="470" spans="1:69" x14ac:dyDescent="0.2">
      <c r="A470">
        <f t="shared" si="372"/>
        <v>1280000</v>
      </c>
      <c r="B470">
        <f t="shared" si="404"/>
        <v>1280</v>
      </c>
      <c r="C470">
        <f t="shared" si="373"/>
        <v>79.626803661821626</v>
      </c>
      <c r="D470">
        <f t="shared" si="374"/>
        <v>1.5582374114269413</v>
      </c>
      <c r="F470">
        <f t="shared" si="375"/>
        <v>3.1075177925012835E-6</v>
      </c>
      <c r="G470">
        <f t="shared" si="376"/>
        <v>7.2543072977622166E-4</v>
      </c>
      <c r="H470">
        <f t="shared" si="377"/>
        <v>-3.1408672192702238</v>
      </c>
      <c r="J470">
        <f t="shared" si="378"/>
        <v>15</v>
      </c>
      <c r="M470">
        <f t="shared" si="379"/>
        <v>2.6355462171482932E-3</v>
      </c>
      <c r="N470">
        <f t="shared" si="380"/>
        <v>-1.5707963250000001</v>
      </c>
      <c r="O470">
        <f t="shared" si="381"/>
        <v>379.2845422712245</v>
      </c>
      <c r="P470">
        <f t="shared" si="382"/>
        <v>1.5681597807533014</v>
      </c>
      <c r="Q470">
        <f t="shared" si="383"/>
        <v>525.49641068470623</v>
      </c>
      <c r="R470">
        <f t="shared" si="384"/>
        <v>1.5688933630767574</v>
      </c>
      <c r="S470">
        <f t="shared" si="385"/>
        <v>2.0928041598642536E-2</v>
      </c>
      <c r="T470">
        <f t="shared" si="386"/>
        <v>-1.5498667572076006</v>
      </c>
      <c r="U470">
        <f t="shared" si="387"/>
        <v>0.98969122687246947</v>
      </c>
      <c r="V470">
        <f t="shared" si="388"/>
        <v>-0.14371175164108432</v>
      </c>
      <c r="X470">
        <f t="shared" si="405"/>
        <v>-27.87603979902876</v>
      </c>
      <c r="Y470">
        <f t="shared" si="389"/>
        <v>-97.973004111511258</v>
      </c>
      <c r="Z470">
        <f t="shared" si="406"/>
        <v>82.026995888488742</v>
      </c>
      <c r="AC470">
        <v>1</v>
      </c>
      <c r="AD470">
        <f t="shared" si="390"/>
        <v>379.28322399744002</v>
      </c>
      <c r="AE470">
        <f t="shared" si="391"/>
        <v>-3.0503766752733729E-3</v>
      </c>
      <c r="AF470">
        <f t="shared" si="392"/>
        <v>2.1079332699264E-2</v>
      </c>
      <c r="AG470">
        <f t="shared" si="367"/>
        <v>17617.346119573431</v>
      </c>
      <c r="AH470">
        <f t="shared" si="368"/>
        <v>-2596.8346562164147</v>
      </c>
      <c r="AJ470">
        <f t="shared" si="393"/>
        <v>18000</v>
      </c>
      <c r="AK470">
        <f t="shared" si="394"/>
        <v>859901.66051327996</v>
      </c>
      <c r="AL470">
        <v>1</v>
      </c>
      <c r="AM470">
        <f t="shared" si="395"/>
        <v>525.49545920256003</v>
      </c>
      <c r="AN470">
        <f t="shared" si="369"/>
        <v>1636.4228934524949</v>
      </c>
      <c r="AO470">
        <f t="shared" si="370"/>
        <v>-31.13933112072796</v>
      </c>
      <c r="AQ470">
        <f t="shared" si="396"/>
        <v>1.5258786734193919E-3</v>
      </c>
      <c r="AR470">
        <f t="shared" si="397"/>
        <v>-3.9062494039536433</v>
      </c>
      <c r="AT470">
        <f t="shared" ref="AT470:AT533" si="418">-AR470*AH470+AG470*AQ470</f>
        <v>-10117.00189528543</v>
      </c>
      <c r="AU470">
        <f t="shared" ref="AU470:AU533" si="419">AQ470*AH470+AG470*AR470</f>
        <v>-68821.710233449063</v>
      </c>
      <c r="AV470">
        <f t="shared" si="407"/>
        <v>-1.7167539994974443</v>
      </c>
      <c r="AW470">
        <f t="shared" si="408"/>
        <v>41095.33723794877</v>
      </c>
      <c r="AX470">
        <f t="shared" si="409"/>
        <v>-12685.521941740652</v>
      </c>
      <c r="AY470">
        <f t="shared" si="417"/>
        <v>-0.29940568875879553</v>
      </c>
      <c r="BA470">
        <f t="shared" si="398"/>
        <v>1.6173781874649136</v>
      </c>
      <c r="BB470">
        <f t="shared" si="410"/>
        <v>4.1762316352977766</v>
      </c>
      <c r="BC470">
        <f t="shared" si="411"/>
        <v>-1.4173483107386489</v>
      </c>
      <c r="BD470">
        <f t="shared" si="399"/>
        <v>-261.20807639811505</v>
      </c>
      <c r="BF470">
        <f t="shared" si="400"/>
        <v>-44.432485047960014</v>
      </c>
      <c r="BG470">
        <f t="shared" si="401"/>
        <v>-171.88608502275036</v>
      </c>
      <c r="BH470">
        <f t="shared" si="412"/>
        <v>8.1139149772496353</v>
      </c>
      <c r="BI470">
        <f t="shared" si="413"/>
        <v>8.1139149772496353</v>
      </c>
      <c r="BJ470">
        <f t="shared" si="402"/>
        <v>0</v>
      </c>
      <c r="BK470">
        <f t="shared" si="414"/>
        <v>0</v>
      </c>
      <c r="BM470">
        <f t="shared" si="415"/>
        <v>-48.608716683257782</v>
      </c>
      <c r="BN470">
        <f t="shared" si="403"/>
        <v>-90.678008624635297</v>
      </c>
      <c r="BQ470" s="66">
        <f t="shared" si="416"/>
        <v>21.078192435582913</v>
      </c>
    </row>
    <row r="471" spans="1:69" x14ac:dyDescent="0.2">
      <c r="A471">
        <f t="shared" si="372"/>
        <v>1285000</v>
      </c>
      <c r="B471">
        <f t="shared" si="404"/>
        <v>1285</v>
      </c>
      <c r="C471">
        <f t="shared" si="373"/>
        <v>79.937796902078674</v>
      </c>
      <c r="D471">
        <f t="shared" si="374"/>
        <v>1.5582862736935748</v>
      </c>
      <c r="F471">
        <f t="shared" si="375"/>
        <v>3.0833817545840064E-6</v>
      </c>
      <c r="G471">
        <f t="shared" si="376"/>
        <v>7.2260802550759085E-4</v>
      </c>
      <c r="H471">
        <f t="shared" si="377"/>
        <v>-3.1408700419744928</v>
      </c>
      <c r="J471">
        <f t="shared" si="378"/>
        <v>15</v>
      </c>
      <c r="M471">
        <f t="shared" si="379"/>
        <v>2.625291173501802E-3</v>
      </c>
      <c r="N471">
        <f t="shared" si="380"/>
        <v>-1.5707963250000001</v>
      </c>
      <c r="O471">
        <f t="shared" si="381"/>
        <v>380.76611223551225</v>
      </c>
      <c r="P471">
        <f t="shared" si="382"/>
        <v>1.5681700396400502</v>
      </c>
      <c r="Q471">
        <f t="shared" si="383"/>
        <v>527.54912361995775</v>
      </c>
      <c r="R471">
        <f t="shared" si="384"/>
        <v>1.5689007675870719</v>
      </c>
      <c r="S471">
        <f t="shared" si="385"/>
        <v>2.0846644988214869E-2</v>
      </c>
      <c r="T471">
        <f t="shared" si="386"/>
        <v>-1.5499481715797645</v>
      </c>
      <c r="U471">
        <f t="shared" si="387"/>
        <v>0.98961178535465921</v>
      </c>
      <c r="V471">
        <f t="shared" si="388"/>
        <v>-0.14426538372340833</v>
      </c>
      <c r="X471">
        <f t="shared" si="405"/>
        <v>-27.910591291539664</v>
      </c>
      <c r="Y471">
        <f t="shared" si="389"/>
        <v>-98.005739682467876</v>
      </c>
      <c r="Z471">
        <f t="shared" si="406"/>
        <v>81.994260317532124</v>
      </c>
      <c r="AC471">
        <v>1</v>
      </c>
      <c r="AD471">
        <f t="shared" si="390"/>
        <v>380.76479909118001</v>
      </c>
      <c r="AE471">
        <f t="shared" si="391"/>
        <v>-3.0742542881031952E-3</v>
      </c>
      <c r="AF471">
        <f t="shared" si="392"/>
        <v>2.11616738426205E-2</v>
      </c>
      <c r="AG471">
        <f t="shared" si="367"/>
        <v>17614.517979831769</v>
      </c>
      <c r="AH471">
        <f t="shared" si="368"/>
        <v>-2606.1977820152952</v>
      </c>
      <c r="AJ471">
        <f t="shared" si="393"/>
        <v>18000</v>
      </c>
      <c r="AK471">
        <f t="shared" si="394"/>
        <v>863260.65137465997</v>
      </c>
      <c r="AL471">
        <v>1</v>
      </c>
      <c r="AM471">
        <f t="shared" si="395"/>
        <v>527.54817584006992</v>
      </c>
      <c r="AN471">
        <f t="shared" si="369"/>
        <v>1636.4224332066572</v>
      </c>
      <c r="AO471">
        <f t="shared" si="370"/>
        <v>-31.018167280620229</v>
      </c>
      <c r="AQ471">
        <f t="shared" si="396"/>
        <v>1.5140272352303238E-3</v>
      </c>
      <c r="AR471">
        <f t="shared" si="397"/>
        <v>-3.8910499945419317</v>
      </c>
      <c r="AT471">
        <f t="shared" si="418"/>
        <v>-10114.177005528891</v>
      </c>
      <c r="AU471">
        <f t="shared" si="419"/>
        <v>-68542.915943705535</v>
      </c>
      <c r="AV471">
        <f t="shared" si="407"/>
        <v>-1.7172988926344228</v>
      </c>
      <c r="AW471">
        <f t="shared" si="408"/>
        <v>41089.910999670996</v>
      </c>
      <c r="AX471">
        <f t="shared" si="409"/>
        <v>-12679.894716472256</v>
      </c>
      <c r="AY471">
        <f t="shared" si="417"/>
        <v>-0.29931786933647997</v>
      </c>
      <c r="BA471">
        <f t="shared" si="398"/>
        <v>1.6112119337078195</v>
      </c>
      <c r="BB471">
        <f t="shared" si="410"/>
        <v>4.1430533979080995</v>
      </c>
      <c r="BC471">
        <f t="shared" si="411"/>
        <v>-1.4179810232979428</v>
      </c>
      <c r="BD471">
        <f t="shared" si="399"/>
        <v>-261.24432815744899</v>
      </c>
      <c r="BF471">
        <f t="shared" si="400"/>
        <v>-44.499531959473735</v>
      </c>
      <c r="BG471">
        <f t="shared" si="401"/>
        <v>-171.91969890946712</v>
      </c>
      <c r="BH471">
        <f t="shared" si="412"/>
        <v>8.0803010905328847</v>
      </c>
      <c r="BI471">
        <f t="shared" si="413"/>
        <v>8.0803010905328847</v>
      </c>
      <c r="BJ471">
        <f t="shared" si="402"/>
        <v>0</v>
      </c>
      <c r="BK471">
        <f t="shared" si="414"/>
        <v>0</v>
      </c>
      <c r="BM471">
        <f t="shared" si="415"/>
        <v>-48.64258535738184</v>
      </c>
      <c r="BN471">
        <f t="shared" si="403"/>
        <v>-90.675370752018154</v>
      </c>
      <c r="BQ471" s="66">
        <f t="shared" si="416"/>
        <v>21.045014198193236</v>
      </c>
    </row>
    <row r="472" spans="1:69" x14ac:dyDescent="0.2">
      <c r="A472">
        <f t="shared" si="372"/>
        <v>1290000</v>
      </c>
      <c r="B472">
        <f t="shared" si="404"/>
        <v>1290</v>
      </c>
      <c r="C472">
        <f t="shared" si="373"/>
        <v>80.248790331709628</v>
      </c>
      <c r="D472">
        <f t="shared" si="374"/>
        <v>1.5583347572419943</v>
      </c>
      <c r="F472">
        <f t="shared" si="375"/>
        <v>3.0595258250762017E-6</v>
      </c>
      <c r="G472">
        <f t="shared" si="376"/>
        <v>7.198072028593498E-4</v>
      </c>
      <c r="H472">
        <f t="shared" si="377"/>
        <v>-3.1408728427971409</v>
      </c>
      <c r="J472">
        <f t="shared" si="378"/>
        <v>15</v>
      </c>
      <c r="M472">
        <f t="shared" si="379"/>
        <v>2.6151156263176864E-3</v>
      </c>
      <c r="N472">
        <f t="shared" si="380"/>
        <v>-1.5707963250000001</v>
      </c>
      <c r="O472">
        <f t="shared" si="381"/>
        <v>382.24768223956301</v>
      </c>
      <c r="P472">
        <f t="shared" si="382"/>
        <v>1.5681802190010914</v>
      </c>
      <c r="Q472">
        <f t="shared" si="383"/>
        <v>529.60183658390883</v>
      </c>
      <c r="R472">
        <f t="shared" si="384"/>
        <v>1.5689081146982871</v>
      </c>
      <c r="S472">
        <f t="shared" si="385"/>
        <v>2.0765878949532121E-2</v>
      </c>
      <c r="T472">
        <f t="shared" si="386"/>
        <v>-1.550028955105978</v>
      </c>
      <c r="U472">
        <f t="shared" si="387"/>
        <v>0.98953205336231964</v>
      </c>
      <c r="V472">
        <f t="shared" si="388"/>
        <v>-0.14481892676425304</v>
      </c>
      <c r="X472">
        <f t="shared" si="405"/>
        <v>-27.945013985278205</v>
      </c>
      <c r="Y472">
        <f t="shared" si="389"/>
        <v>-98.038462297357299</v>
      </c>
      <c r="Z472">
        <f t="shared" si="406"/>
        <v>81.961537702642701</v>
      </c>
      <c r="AC472">
        <v>1</v>
      </c>
      <c r="AD472">
        <f t="shared" si="390"/>
        <v>382.24637418492006</v>
      </c>
      <c r="AE472">
        <f t="shared" si="391"/>
        <v>-3.0982249910415159E-3</v>
      </c>
      <c r="AF472">
        <f t="shared" si="392"/>
        <v>2.1244014985977E-2</v>
      </c>
      <c r="AG472">
        <f t="shared" si="367"/>
        <v>17611.679727385192</v>
      </c>
      <c r="AH472">
        <f t="shared" si="368"/>
        <v>-2615.5576665843059</v>
      </c>
      <c r="AJ472">
        <f t="shared" si="393"/>
        <v>18000</v>
      </c>
      <c r="AK472">
        <f t="shared" si="394"/>
        <v>866619.64223603997</v>
      </c>
      <c r="AL472">
        <v>1</v>
      </c>
      <c r="AM472">
        <f t="shared" si="395"/>
        <v>529.60089247757992</v>
      </c>
      <c r="AN472">
        <f t="shared" si="369"/>
        <v>1636.421978302111</v>
      </c>
      <c r="AO472">
        <f t="shared" si="370"/>
        <v>-30.897942685001471</v>
      </c>
      <c r="AQ472">
        <f t="shared" si="396"/>
        <v>1.5023133371922755E-3</v>
      </c>
      <c r="AR472">
        <f t="shared" si="397"/>
        <v>-3.8759684099560707</v>
      </c>
      <c r="AT472">
        <f t="shared" si="418"/>
        <v>-10111.360628754373</v>
      </c>
      <c r="AU472">
        <f t="shared" si="419"/>
        <v>-68266.243656775448</v>
      </c>
      <c r="AV472">
        <f t="shared" si="407"/>
        <v>-1.7178437644731397</v>
      </c>
      <c r="AW472">
        <f t="shared" si="408"/>
        <v>41084.451280598216</v>
      </c>
      <c r="AX472">
        <f t="shared" si="409"/>
        <v>-12674.466916827456</v>
      </c>
      <c r="AY472">
        <f t="shared" si="417"/>
        <v>-0.2992346837359951</v>
      </c>
      <c r="BA472">
        <f t="shared" si="398"/>
        <v>1.6050920372901567</v>
      </c>
      <c r="BB472">
        <f t="shared" si="410"/>
        <v>4.1099988051135101</v>
      </c>
      <c r="BC472">
        <f t="shared" si="411"/>
        <v>-1.4186090807371445</v>
      </c>
      <c r="BD472">
        <f t="shared" si="399"/>
        <v>-261.28031319804813</v>
      </c>
      <c r="BF472">
        <f t="shared" si="400"/>
        <v>-44.566323654659726</v>
      </c>
      <c r="BG472">
        <f t="shared" si="401"/>
        <v>-171.95306652267993</v>
      </c>
      <c r="BH472">
        <f t="shared" si="412"/>
        <v>8.0469334773200671</v>
      </c>
      <c r="BI472">
        <f t="shared" si="413"/>
        <v>8.0469334773200671</v>
      </c>
      <c r="BJ472">
        <f t="shared" si="402"/>
        <v>0</v>
      </c>
      <c r="BK472">
        <f t="shared" si="414"/>
        <v>0</v>
      </c>
      <c r="BM472">
        <f t="shared" si="415"/>
        <v>-48.676322459773246</v>
      </c>
      <c r="BN472">
        <f t="shared" si="403"/>
        <v>-90.672753324631799</v>
      </c>
      <c r="BQ472" s="66">
        <f t="shared" si="416"/>
        <v>21.011959605398648</v>
      </c>
    </row>
    <row r="473" spans="1:69" x14ac:dyDescent="0.2">
      <c r="A473">
        <f>A472+5000</f>
        <v>1295000</v>
      </c>
      <c r="B473">
        <f t="shared" si="404"/>
        <v>1295</v>
      </c>
      <c r="C473">
        <f t="shared" si="373"/>
        <v>80.559783948521343</v>
      </c>
      <c r="D473">
        <f t="shared" si="374"/>
        <v>1.5583828664579913</v>
      </c>
      <c r="F473">
        <f t="shared" si="375"/>
        <v>3.0359456863211864E-6</v>
      </c>
      <c r="G473">
        <f t="shared" si="376"/>
        <v>7.1702800837348862E-4</v>
      </c>
      <c r="H473">
        <f t="shared" si="377"/>
        <v>-3.1408756219916265</v>
      </c>
      <c r="J473">
        <f t="shared" si="378"/>
        <v>15</v>
      </c>
      <c r="M473">
        <f t="shared" si="379"/>
        <v>2.6050186547875022E-3</v>
      </c>
      <c r="N473">
        <f t="shared" si="380"/>
        <v>-1.5707963250000001</v>
      </c>
      <c r="O473">
        <f t="shared" si="381"/>
        <v>383.72925228291615</v>
      </c>
      <c r="P473">
        <f t="shared" si="382"/>
        <v>1.568190319757564</v>
      </c>
      <c r="Q473">
        <f t="shared" si="383"/>
        <v>531.65454957622717</v>
      </c>
      <c r="R473">
        <f t="shared" si="384"/>
        <v>1.5689154050752541</v>
      </c>
      <c r="S473">
        <f t="shared" si="385"/>
        <v>2.0685736184962365E-2</v>
      </c>
      <c r="T473">
        <f t="shared" si="386"/>
        <v>-1.5501091150891437</v>
      </c>
      <c r="U473">
        <f t="shared" si="387"/>
        <v>0.98945203111222102</v>
      </c>
      <c r="V473">
        <f t="shared" si="388"/>
        <v>-0.14537238044595763</v>
      </c>
      <c r="X473">
        <f t="shared" si="405"/>
        <v>-27.979308894847513</v>
      </c>
      <c r="Y473">
        <f t="shared" si="389"/>
        <v>-98.0711720287687</v>
      </c>
      <c r="Z473">
        <f t="shared" si="406"/>
        <v>81.9288279712313</v>
      </c>
      <c r="AC473">
        <v>1</v>
      </c>
      <c r="AD473">
        <f t="shared" si="390"/>
        <v>383.72794927866005</v>
      </c>
      <c r="AE473">
        <f t="shared" si="391"/>
        <v>-3.122288784088335E-3</v>
      </c>
      <c r="AF473">
        <f t="shared" si="392"/>
        <v>2.13263561293335E-2</v>
      </c>
      <c r="AG473">
        <f t="shared" si="367"/>
        <v>17608.831372448596</v>
      </c>
      <c r="AH473">
        <f t="shared" si="368"/>
        <v>-2624.9142776951535</v>
      </c>
      <c r="AJ473">
        <f t="shared" si="393"/>
        <v>18000</v>
      </c>
      <c r="AK473">
        <f t="shared" si="394"/>
        <v>869978.63309741998</v>
      </c>
      <c r="AL473">
        <v>1</v>
      </c>
      <c r="AM473">
        <f t="shared" si="395"/>
        <v>531.65360911508992</v>
      </c>
      <c r="AN473">
        <f t="shared" si="369"/>
        <v>1636.4215286565263</v>
      </c>
      <c r="AO473">
        <f t="shared" si="370"/>
        <v>-30.778646454746742</v>
      </c>
      <c r="AQ473">
        <f t="shared" si="396"/>
        <v>1.4907348592395971E-3</v>
      </c>
      <c r="AR473">
        <f t="shared" si="397"/>
        <v>-3.8610032854305563</v>
      </c>
      <c r="AT473">
        <f t="shared" si="418"/>
        <v>-10108.552551397182</v>
      </c>
      <c r="AU473">
        <f t="shared" si="419"/>
        <v>-67991.668832832962</v>
      </c>
      <c r="AV473">
        <f t="shared" si="407"/>
        <v>-1.7183886139112721</v>
      </c>
      <c r="AW473">
        <f t="shared" si="408"/>
        <v>41078.958269565206</v>
      </c>
      <c r="AX473">
        <f t="shared" si="409"/>
        <v>-12669.236075728859</v>
      </c>
      <c r="AY473">
        <f t="shared" si="417"/>
        <v>-0.29915607818344042</v>
      </c>
      <c r="BA473">
        <f t="shared" si="398"/>
        <v>1.5990179828653925</v>
      </c>
      <c r="BB473">
        <f t="shared" si="410"/>
        <v>4.0770669586681967</v>
      </c>
      <c r="BC473">
        <f t="shared" si="411"/>
        <v>-1.4192325357278317</v>
      </c>
      <c r="BD473">
        <f t="shared" si="399"/>
        <v>-261.31603453777166</v>
      </c>
      <c r="BF473">
        <f t="shared" si="400"/>
        <v>-44.632862050221817</v>
      </c>
      <c r="BG473">
        <f t="shared" si="401"/>
        <v>-171.9861906434827</v>
      </c>
      <c r="BH473">
        <f t="shared" si="412"/>
        <v>8.0138093565172994</v>
      </c>
      <c r="BI473">
        <f t="shared" si="413"/>
        <v>8.0138093565172994</v>
      </c>
      <c r="BJ473">
        <f t="shared" si="402"/>
        <v>0</v>
      </c>
      <c r="BK473">
        <f t="shared" si="414"/>
        <v>0</v>
      </c>
      <c r="BM473">
        <f t="shared" si="415"/>
        <v>-48.709929008890008</v>
      </c>
      <c r="BN473">
        <f t="shared" si="403"/>
        <v>-90.670156105711015</v>
      </c>
      <c r="BQ473" s="66">
        <f t="shared" si="416"/>
        <v>20.979027758953332</v>
      </c>
    </row>
    <row r="474" spans="1:69" x14ac:dyDescent="0.2">
      <c r="A474">
        <f t="shared" ref="A474:A537" si="420">A473+5000</f>
        <v>1300000</v>
      </c>
      <c r="B474">
        <f t="shared" si="404"/>
        <v>1300</v>
      </c>
      <c r="C474">
        <f t="shared" si="373"/>
        <v>80.870777750354364</v>
      </c>
      <c r="D474">
        <f t="shared" si="374"/>
        <v>1.5584306056598998</v>
      </c>
      <c r="F474">
        <f t="shared" si="375"/>
        <v>3.0126371035346156E-6</v>
      </c>
      <c r="G474">
        <f t="shared" si="376"/>
        <v>7.1427019249140794E-4</v>
      </c>
      <c r="H474">
        <f t="shared" si="377"/>
        <v>-3.1408783798075088</v>
      </c>
      <c r="J474">
        <f t="shared" si="378"/>
        <v>15</v>
      </c>
      <c r="M474">
        <f t="shared" si="379"/>
        <v>2.5949993522690886E-3</v>
      </c>
      <c r="N474">
        <f t="shared" si="380"/>
        <v>-1.5707963250000001</v>
      </c>
      <c r="O474">
        <f t="shared" si="381"/>
        <v>385.21082236511819</v>
      </c>
      <c r="P474">
        <f t="shared" si="382"/>
        <v>1.5682003428164355</v>
      </c>
      <c r="Q474">
        <f t="shared" si="383"/>
        <v>533.70726259658522</v>
      </c>
      <c r="R474">
        <f t="shared" si="384"/>
        <v>1.5689226393725961</v>
      </c>
      <c r="S474">
        <f t="shared" si="385"/>
        <v>2.0606209509024795E-2</v>
      </c>
      <c r="T474">
        <f t="shared" si="386"/>
        <v>-1.5501886587198919</v>
      </c>
      <c r="U474">
        <f t="shared" si="387"/>
        <v>0.98937171882182806</v>
      </c>
      <c r="V474">
        <f t="shared" si="388"/>
        <v>-0.14592574445118284</v>
      </c>
      <c r="X474">
        <f t="shared" si="405"/>
        <v>-28.013477023114245</v>
      </c>
      <c r="Y474">
        <f t="shared" si="389"/>
        <v>-98.103868947916382</v>
      </c>
      <c r="Z474">
        <f t="shared" si="406"/>
        <v>81.896131052083618</v>
      </c>
      <c r="AC474">
        <v>1</v>
      </c>
      <c r="AD474">
        <f t="shared" si="390"/>
        <v>385.20952437240004</v>
      </c>
      <c r="AE474">
        <f t="shared" si="391"/>
        <v>-3.1464456672436521E-3</v>
      </c>
      <c r="AF474">
        <f t="shared" si="392"/>
        <v>2.140869727269E-2</v>
      </c>
      <c r="AG474">
        <f t="shared" si="367"/>
        <v>17605.972925268215</v>
      </c>
      <c r="AH474">
        <f t="shared" si="368"/>
        <v>-2634.2675834022407</v>
      </c>
      <c r="AJ474">
        <f t="shared" si="393"/>
        <v>18000</v>
      </c>
      <c r="AK474">
        <f t="shared" si="394"/>
        <v>873337.62395879987</v>
      </c>
      <c r="AL474">
        <v>1</v>
      </c>
      <c r="AM474">
        <f t="shared" si="395"/>
        <v>533.70632575260004</v>
      </c>
      <c r="AN474">
        <f t="shared" si="369"/>
        <v>1636.4210841891513</v>
      </c>
      <c r="AO474">
        <f t="shared" si="370"/>
        <v>-30.660267878099305</v>
      </c>
      <c r="AQ474">
        <f t="shared" si="396"/>
        <v>1.4792897219985618E-3</v>
      </c>
      <c r="AR474">
        <f t="shared" si="397"/>
        <v>-3.8461532771962608</v>
      </c>
      <c r="AT474">
        <f t="shared" si="418"/>
        <v>-10105.752564120268</v>
      </c>
      <c r="AU474">
        <f t="shared" si="419"/>
        <v>-67719.167309710116</v>
      </c>
      <c r="AV474">
        <f t="shared" si="407"/>
        <v>-1.7189334398588902</v>
      </c>
      <c r="AW474">
        <f t="shared" si="408"/>
        <v>41073.432152293179</v>
      </c>
      <c r="AX474">
        <f t="shared" si="409"/>
        <v>-12664.199763582612</v>
      </c>
      <c r="AY474">
        <f t="shared" si="417"/>
        <v>-0.29908199970431898</v>
      </c>
      <c r="BA474">
        <f t="shared" si="398"/>
        <v>1.5929892626141371</v>
      </c>
      <c r="BB474">
        <f t="shared" si="410"/>
        <v>4.0442569698437705</v>
      </c>
      <c r="BC474">
        <f t="shared" si="411"/>
        <v>-1.4198514401545712</v>
      </c>
      <c r="BD474">
        <f t="shared" si="399"/>
        <v>-261.35149514938632</v>
      </c>
      <c r="BF474">
        <f t="shared" si="400"/>
        <v>-44.699149041564738</v>
      </c>
      <c r="BG474">
        <f t="shared" si="401"/>
        <v>-172.01907401151846</v>
      </c>
      <c r="BH474">
        <f t="shared" si="412"/>
        <v>7.9809259884815447</v>
      </c>
      <c r="BI474">
        <f t="shared" si="413"/>
        <v>7.9809259884815447</v>
      </c>
      <c r="BJ474">
        <f t="shared" si="402"/>
        <v>0</v>
      </c>
      <c r="BK474">
        <f t="shared" si="414"/>
        <v>0</v>
      </c>
      <c r="BM474">
        <f t="shared" si="415"/>
        <v>-48.743406011408503</v>
      </c>
      <c r="BN474">
        <f t="shared" si="403"/>
        <v>-90.667578862132103</v>
      </c>
      <c r="BQ474" s="66">
        <f t="shared" si="416"/>
        <v>20.946217770128904</v>
      </c>
    </row>
    <row r="475" spans="1:69" x14ac:dyDescent="0.2">
      <c r="A475">
        <f t="shared" si="420"/>
        <v>1305000</v>
      </c>
      <c r="B475">
        <f t="shared" si="404"/>
        <v>1305</v>
      </c>
      <c r="C475">
        <f t="shared" si="373"/>
        <v>81.181771735082336</v>
      </c>
      <c r="D475">
        <f t="shared" si="374"/>
        <v>1.5584779790998904</v>
      </c>
      <c r="F475">
        <f t="shared" si="375"/>
        <v>2.9895959229030159E-6</v>
      </c>
      <c r="G475">
        <f t="shared" si="376"/>
        <v>7.1153350947921585E-4</v>
      </c>
      <c r="H475">
        <f t="shared" si="377"/>
        <v>-3.140881116490521</v>
      </c>
      <c r="J475">
        <f t="shared" si="378"/>
        <v>15</v>
      </c>
      <c r="M475">
        <f t="shared" si="379"/>
        <v>2.5850568260151838E-3</v>
      </c>
      <c r="N475">
        <f t="shared" si="380"/>
        <v>-1.5707963250000001</v>
      </c>
      <c r="O475">
        <f t="shared" si="381"/>
        <v>386.69239248572268</v>
      </c>
      <c r="P475">
        <f t="shared" si="382"/>
        <v>1.5682102890707739</v>
      </c>
      <c r="Q475">
        <f t="shared" si="383"/>
        <v>535.75997564466093</v>
      </c>
      <c r="R475">
        <f t="shared" si="384"/>
        <v>1.5689298182349032</v>
      </c>
      <c r="S475">
        <f t="shared" si="385"/>
        <v>2.0527291846243963E-2</v>
      </c>
      <c r="T475">
        <f t="shared" si="386"/>
        <v>-1.55026759307873</v>
      </c>
      <c r="U475">
        <f t="shared" si="387"/>
        <v>0.98929111670929859</v>
      </c>
      <c r="V475">
        <f t="shared" si="388"/>
        <v>-0.14647901846291186</v>
      </c>
      <c r="X475">
        <f t="shared" si="405"/>
        <v>-28.047519361388488</v>
      </c>
      <c r="Y475">
        <f t="shared" si="389"/>
        <v>-98.136553124666605</v>
      </c>
      <c r="Z475">
        <f t="shared" si="406"/>
        <v>81.863446875333395</v>
      </c>
      <c r="AC475">
        <v>1</v>
      </c>
      <c r="AD475">
        <f t="shared" si="390"/>
        <v>386.69109946614003</v>
      </c>
      <c r="AE475">
        <f t="shared" si="391"/>
        <v>-3.1706956405074681E-3</v>
      </c>
      <c r="AF475">
        <f t="shared" si="392"/>
        <v>2.1491038416046503E-2</v>
      </c>
      <c r="AG475">
        <f t="shared" si="367"/>
        <v>17603.104396121515</v>
      </c>
      <c r="AH475">
        <f t="shared" si="368"/>
        <v>-2643.6175520378538</v>
      </c>
      <c r="AJ475">
        <f t="shared" si="393"/>
        <v>18000</v>
      </c>
      <c r="AK475">
        <f t="shared" si="394"/>
        <v>876696.61482017988</v>
      </c>
      <c r="AL475">
        <v>1</v>
      </c>
      <c r="AM475">
        <f t="shared" si="395"/>
        <v>535.75904239011004</v>
      </c>
      <c r="AN475">
        <f t="shared" si="369"/>
        <v>1636.4206448207799</v>
      </c>
      <c r="AO475">
        <f t="shared" si="370"/>
        <v>-30.542796407464404</v>
      </c>
      <c r="AQ475">
        <f t="shared" si="396"/>
        <v>1.4679758858537183E-3</v>
      </c>
      <c r="AR475">
        <f t="shared" si="397"/>
        <v>-3.8314170620782049</v>
      </c>
      <c r="AT475">
        <f t="shared" si="418"/>
        <v>-10102.960461717577</v>
      </c>
      <c r="AU475">
        <f t="shared" si="419"/>
        <v>-67448.715295661634</v>
      </c>
      <c r="AV475">
        <f t="shared" si="407"/>
        <v>-1.7194782412382272</v>
      </c>
      <c r="AW475">
        <f t="shared" si="408"/>
        <v>41067.87311146257</v>
      </c>
      <c r="AX475">
        <f t="shared" si="409"/>
        <v>-12659.355587561546</v>
      </c>
      <c r="AY475">
        <f t="shared" si="417"/>
        <v>-0.29901239610875047</v>
      </c>
      <c r="BA475">
        <f t="shared" si="398"/>
        <v>1.587005376108813</v>
      </c>
      <c r="BB475">
        <f t="shared" si="410"/>
        <v>4.0115679592990672</v>
      </c>
      <c r="BC475">
        <f t="shared" si="411"/>
        <v>-1.4204658451294767</v>
      </c>
      <c r="BD475">
        <f t="shared" si="399"/>
        <v>-261.3866979614005</v>
      </c>
      <c r="BF475">
        <f t="shared" si="400"/>
        <v>-44.765186503105397</v>
      </c>
      <c r="BG475">
        <f t="shared" si="401"/>
        <v>-172.05171932574368</v>
      </c>
      <c r="BH475">
        <f t="shared" si="412"/>
        <v>7.9482806742563241</v>
      </c>
      <c r="BI475">
        <f t="shared" si="413"/>
        <v>7.9482806742563241</v>
      </c>
      <c r="BJ475">
        <f t="shared" si="402"/>
        <v>0</v>
      </c>
      <c r="BK475">
        <f t="shared" si="414"/>
        <v>0</v>
      </c>
      <c r="BM475">
        <f t="shared" si="415"/>
        <v>-48.776754462404462</v>
      </c>
      <c r="BN475">
        <f t="shared" si="403"/>
        <v>-90.665021364343175</v>
      </c>
      <c r="BQ475" s="66">
        <f t="shared" si="416"/>
        <v>20.913528759584207</v>
      </c>
    </row>
    <row r="476" spans="1:69" x14ac:dyDescent="0.2">
      <c r="A476">
        <f t="shared" si="420"/>
        <v>1310000</v>
      </c>
      <c r="B476">
        <f t="shared" si="404"/>
        <v>1310</v>
      </c>
      <c r="C476">
        <f t="shared" si="373"/>
        <v>81.492765900611317</v>
      </c>
      <c r="D476">
        <f t="shared" si="374"/>
        <v>1.5585249909652303</v>
      </c>
      <c r="F476">
        <f t="shared" si="375"/>
        <v>2.9668180697330273E-6</v>
      </c>
      <c r="G476">
        <f t="shared" si="376"/>
        <v>7.0881771735473707E-4</v>
      </c>
      <c r="H476">
        <f t="shared" si="377"/>
        <v>-3.1408838322826456</v>
      </c>
      <c r="J476">
        <f t="shared" si="378"/>
        <v>15</v>
      </c>
      <c r="M476">
        <f t="shared" si="379"/>
        <v>2.575190196908256E-3</v>
      </c>
      <c r="N476">
        <f t="shared" si="380"/>
        <v>-1.5707963250000001</v>
      </c>
      <c r="O476">
        <f t="shared" si="381"/>
        <v>388.17396264428987</v>
      </c>
      <c r="P476">
        <f t="shared" si="382"/>
        <v>1.5682201594000122</v>
      </c>
      <c r="Q476">
        <f t="shared" si="383"/>
        <v>537.81268872013686</v>
      </c>
      <c r="R476">
        <f t="shared" si="384"/>
        <v>1.568936942296925</v>
      </c>
      <c r="S476">
        <f t="shared" si="385"/>
        <v>2.0448976229053121E-2</v>
      </c>
      <c r="T476">
        <f t="shared" si="386"/>
        <v>-1.5503459251381415</v>
      </c>
      <c r="U476">
        <f t="shared" si="387"/>
        <v>0.98921022499348232</v>
      </c>
      <c r="V476">
        <f t="shared" si="388"/>
        <v>-0.14703220216445143</v>
      </c>
      <c r="X476">
        <f t="shared" si="405"/>
        <v>-28.081436889600262</v>
      </c>
      <c r="Y476">
        <f t="shared" si="389"/>
        <v>-98.16922462756358</v>
      </c>
      <c r="Z476">
        <f t="shared" si="406"/>
        <v>81.83077537243642</v>
      </c>
      <c r="AC476">
        <v>1</v>
      </c>
      <c r="AD476">
        <f t="shared" si="390"/>
        <v>388.17267455988002</v>
      </c>
      <c r="AE476">
        <f t="shared" si="391"/>
        <v>-3.195038703879782E-3</v>
      </c>
      <c r="AF476">
        <f t="shared" si="392"/>
        <v>2.1573379559403E-2</v>
      </c>
      <c r="AG476">
        <f t="shared" si="367"/>
        <v>17600.225795317114</v>
      </c>
      <c r="AH476">
        <f t="shared" si="368"/>
        <v>-2652.9641522074676</v>
      </c>
      <c r="AJ476">
        <f t="shared" si="393"/>
        <v>18000</v>
      </c>
      <c r="AK476">
        <f t="shared" si="394"/>
        <v>880055.60568156</v>
      </c>
      <c r="AL476">
        <v>1</v>
      </c>
      <c r="AM476">
        <f t="shared" si="395"/>
        <v>537.81175902762004</v>
      </c>
      <c r="AN476">
        <f t="shared" si="369"/>
        <v>1636.4202104737137</v>
      </c>
      <c r="AO476">
        <f t="shared" si="370"/>
        <v>-30.426221656276418</v>
      </c>
      <c r="AQ476">
        <f t="shared" si="396"/>
        <v>1.4567913500391366E-3</v>
      </c>
      <c r="AR476">
        <f t="shared" si="397"/>
        <v>-3.816793337102538</v>
      </c>
      <c r="AT476">
        <f t="shared" si="418"/>
        <v>-10100.176043019992</v>
      </c>
      <c r="AU476">
        <f t="shared" si="419"/>
        <v>-67180.289362295473</v>
      </c>
      <c r="AV476">
        <f t="shared" si="407"/>
        <v>-1.7200230169834534</v>
      </c>
      <c r="AW476">
        <f t="shared" si="408"/>
        <v>41062.281326784083</v>
      </c>
      <c r="AX476">
        <f t="shared" si="409"/>
        <v>-12654.701190904696</v>
      </c>
      <c r="AY476">
        <f t="shared" si="417"/>
        <v>-0.29894721597700635</v>
      </c>
      <c r="BA476">
        <f t="shared" si="398"/>
        <v>1.581065830181188</v>
      </c>
      <c r="BB476">
        <f t="shared" si="410"/>
        <v>3.9789990569520359</v>
      </c>
      <c r="BC476">
        <f t="shared" si="411"/>
        <v>-1.421075801006447</v>
      </c>
      <c r="BD476">
        <f t="shared" si="399"/>
        <v>-261.42164585888003</v>
      </c>
      <c r="BF476">
        <f t="shared" si="400"/>
        <v>-44.83097628857859</v>
      </c>
      <c r="BG476">
        <f t="shared" si="401"/>
        <v>-172.08412924517603</v>
      </c>
      <c r="BH476">
        <f t="shared" si="412"/>
        <v>7.9158707548239704</v>
      </c>
      <c r="BI476">
        <f t="shared" si="413"/>
        <v>7.9158707548239704</v>
      </c>
      <c r="BJ476">
        <f t="shared" si="402"/>
        <v>0</v>
      </c>
      <c r="BK476">
        <f t="shared" si="414"/>
        <v>0</v>
      </c>
      <c r="BM476">
        <f t="shared" si="415"/>
        <v>-48.809975345530631</v>
      </c>
      <c r="BN476">
        <f t="shared" si="403"/>
        <v>-90.662483386296032</v>
      </c>
      <c r="BQ476" s="66">
        <f t="shared" si="416"/>
        <v>20.880959857237173</v>
      </c>
    </row>
    <row r="477" spans="1:69" x14ac:dyDescent="0.2">
      <c r="A477">
        <f t="shared" si="420"/>
        <v>1315000</v>
      </c>
      <c r="B477">
        <f t="shared" si="404"/>
        <v>1315</v>
      </c>
      <c r="C477">
        <f t="shared" si="373"/>
        <v>81.803760244879314</v>
      </c>
      <c r="D477">
        <f t="shared" si="374"/>
        <v>1.5585716453795195</v>
      </c>
      <c r="F477">
        <f t="shared" si="375"/>
        <v>2.94429954664981E-6</v>
      </c>
      <c r="G477">
        <f t="shared" si="376"/>
        <v>7.0612257781618444E-4</v>
      </c>
      <c r="H477">
        <f t="shared" si="377"/>
        <v>-3.1408865274221842</v>
      </c>
      <c r="J477">
        <f t="shared" si="378"/>
        <v>15</v>
      </c>
      <c r="M477">
        <f t="shared" si="379"/>
        <v>2.5653985992013803E-3</v>
      </c>
      <c r="N477">
        <f t="shared" si="380"/>
        <v>-1.5707963250000001</v>
      </c>
      <c r="O477">
        <f t="shared" si="381"/>
        <v>389.65553284038668</v>
      </c>
      <c r="P477">
        <f t="shared" si="382"/>
        <v>1.5682299546702092</v>
      </c>
      <c r="Q477">
        <f t="shared" si="383"/>
        <v>539.86540182270039</v>
      </c>
      <c r="R477">
        <f t="shared" si="384"/>
        <v>1.5689440121837566</v>
      </c>
      <c r="S477">
        <f t="shared" si="385"/>
        <v>2.0371255795745297E-2</v>
      </c>
      <c r="T477">
        <f t="shared" si="386"/>
        <v>-1.550423661764639</v>
      </c>
      <c r="U477">
        <f t="shared" si="387"/>
        <v>0.98912904389391831</v>
      </c>
      <c r="V477">
        <f t="shared" si="388"/>
        <v>-0.14758529523943267</v>
      </c>
      <c r="X477">
        <f t="shared" si="405"/>
        <v>-28.115230576472658</v>
      </c>
      <c r="Y477">
        <f t="shared" si="389"/>
        <v>-98.201883523854917</v>
      </c>
      <c r="Z477">
        <f t="shared" si="406"/>
        <v>81.798116476145083</v>
      </c>
      <c r="AC477">
        <v>1</v>
      </c>
      <c r="AD477">
        <f t="shared" si="390"/>
        <v>389.65424965362007</v>
      </c>
      <c r="AE477">
        <f t="shared" si="391"/>
        <v>-3.2194748573605948E-3</v>
      </c>
      <c r="AF477">
        <f t="shared" si="392"/>
        <v>2.1655720702759503E-2</v>
      </c>
      <c r="AG477">
        <f t="shared" si="367"/>
        <v>17597.337133194658</v>
      </c>
      <c r="AH477">
        <f t="shared" si="368"/>
        <v>-2662.307352785147</v>
      </c>
      <c r="AJ477">
        <f t="shared" si="393"/>
        <v>18000</v>
      </c>
      <c r="AK477">
        <f t="shared" si="394"/>
        <v>883414.59654294001</v>
      </c>
      <c r="AL477">
        <v>1</v>
      </c>
      <c r="AM477">
        <f t="shared" si="395"/>
        <v>539.86447566512993</v>
      </c>
      <c r="AN477">
        <f t="shared" si="369"/>
        <v>1636.4197810717294</v>
      </c>
      <c r="AO477">
        <f t="shared" si="370"/>
        <v>-30.310533395937611</v>
      </c>
      <c r="AQ477">
        <f t="shared" si="396"/>
        <v>1.4457341517537985E-3</v>
      </c>
      <c r="AR477">
        <f t="shared" si="397"/>
        <v>-3.8022808191124899</v>
      </c>
      <c r="AT477">
        <f t="shared" si="418"/>
        <v>-10097.39911080373</v>
      </c>
      <c r="AU477">
        <f t="shared" si="419"/>
        <v>-66913.866437664401</v>
      </c>
      <c r="AV477">
        <f t="shared" si="407"/>
        <v>-1.7205677660404581</v>
      </c>
      <c r="AW477">
        <f t="shared" si="408"/>
        <v>41056.656975067512</v>
      </c>
      <c r="AX477">
        <f t="shared" si="409"/>
        <v>-12650.234252232833</v>
      </c>
      <c r="AY477">
        <f t="shared" si="417"/>
        <v>-0.29888640864536525</v>
      </c>
      <c r="BA477">
        <f t="shared" si="398"/>
        <v>1.5751701387927182</v>
      </c>
      <c r="BB477">
        <f t="shared" si="410"/>
        <v>3.9465494018537743</v>
      </c>
      <c r="BC477">
        <f t="shared" si="411"/>
        <v>-1.4216813573950928</v>
      </c>
      <c r="BD477">
        <f t="shared" si="399"/>
        <v>-261.45634168424624</v>
      </c>
      <c r="BF477">
        <f t="shared" si="400"/>
        <v>-44.896520231337107</v>
      </c>
      <c r="BG477">
        <f t="shared" si="401"/>
        <v>-172.11630638962575</v>
      </c>
      <c r="BH477">
        <f t="shared" si="412"/>
        <v>7.8836936103742516</v>
      </c>
      <c r="BI477">
        <f t="shared" si="413"/>
        <v>7.8836936103742516</v>
      </c>
      <c r="BJ477">
        <f t="shared" si="402"/>
        <v>0</v>
      </c>
      <c r="BK477">
        <f t="shared" si="414"/>
        <v>0</v>
      </c>
      <c r="BM477">
        <f t="shared" si="415"/>
        <v>-48.843069633190879</v>
      </c>
      <c r="BN477">
        <f t="shared" si="403"/>
        <v>-90.659964705379494</v>
      </c>
      <c r="BQ477" s="66">
        <f t="shared" si="416"/>
        <v>20.848510202138911</v>
      </c>
    </row>
    <row r="478" spans="1:69" x14ac:dyDescent="0.2">
      <c r="A478">
        <f t="shared" si="420"/>
        <v>1320000</v>
      </c>
      <c r="B478">
        <f t="shared" si="404"/>
        <v>1320</v>
      </c>
      <c r="C478">
        <f t="shared" si="373"/>
        <v>82.114754765855452</v>
      </c>
      <c r="D478">
        <f t="shared" si="374"/>
        <v>1.5586179464038932</v>
      </c>
      <c r="F478">
        <f t="shared" si="375"/>
        <v>2.9220364318431297E-6</v>
      </c>
      <c r="G478">
        <f t="shared" si="376"/>
        <v>7.0344785617245525E-4</v>
      </c>
      <c r="H478">
        <f t="shared" si="377"/>
        <v>-3.1408892021438279</v>
      </c>
      <c r="J478">
        <f t="shared" si="378"/>
        <v>15</v>
      </c>
      <c r="M478">
        <f t="shared" si="379"/>
        <v>2.5556811802650114E-3</v>
      </c>
      <c r="N478">
        <f t="shared" si="380"/>
        <v>-1.5707963250000001</v>
      </c>
      <c r="O478">
        <f t="shared" si="381"/>
        <v>391.13710307358667</v>
      </c>
      <c r="P478">
        <f t="shared" si="382"/>
        <v>1.5682396757343005</v>
      </c>
      <c r="Q478">
        <f t="shared" si="383"/>
        <v>541.91811495204377</v>
      </c>
      <c r="R478">
        <f t="shared" si="384"/>
        <v>1.5689510285110226</v>
      </c>
      <c r="S478">
        <f t="shared" si="385"/>
        <v>2.0294123788470859E-2</v>
      </c>
      <c r="T478">
        <f t="shared" si="386"/>
        <v>-1.5505008097207684</v>
      </c>
      <c r="U478">
        <f t="shared" si="387"/>
        <v>0.98904757363083406</v>
      </c>
      <c r="V478">
        <f t="shared" si="388"/>
        <v>-0.14813829737181219</v>
      </c>
      <c r="X478">
        <f t="shared" si="405"/>
        <v>-28.148901379691701</v>
      </c>
      <c r="Y478">
        <f t="shared" si="389"/>
        <v>-98.234529879516558</v>
      </c>
      <c r="Z478">
        <f t="shared" si="406"/>
        <v>81.765470120483442</v>
      </c>
      <c r="AC478">
        <v>1</v>
      </c>
      <c r="AD478">
        <f t="shared" si="390"/>
        <v>391.13582474736006</v>
      </c>
      <c r="AE478">
        <f t="shared" si="391"/>
        <v>-3.2440041009499055E-3</v>
      </c>
      <c r="AF478">
        <f t="shared" si="392"/>
        <v>2.1738061846116E-2</v>
      </c>
      <c r="AG478">
        <f t="shared" si="367"/>
        <v>17594.438420124781</v>
      </c>
      <c r="AH478">
        <f t="shared" si="368"/>
        <v>-2671.6471229090766</v>
      </c>
      <c r="AJ478">
        <f t="shared" si="393"/>
        <v>18000</v>
      </c>
      <c r="AK478">
        <f t="shared" si="394"/>
        <v>886773.58740432002</v>
      </c>
      <c r="AL478">
        <v>1</v>
      </c>
      <c r="AM478">
        <f t="shared" si="395"/>
        <v>541.91719230263993</v>
      </c>
      <c r="AN478">
        <f t="shared" si="369"/>
        <v>1636.4193565400431</v>
      </c>
      <c r="AO478">
        <f t="shared" si="370"/>
        <v>-30.195721552826331</v>
      </c>
      <c r="AQ478">
        <f t="shared" si="396"/>
        <v>1.4348023653003952E-3</v>
      </c>
      <c r="AR478">
        <f t="shared" si="397"/>
        <v>-3.7878782443930437</v>
      </c>
      <c r="AT478">
        <f t="shared" si="418"/>
        <v>-10094.629471701232</v>
      </c>
      <c r="AU478">
        <f t="shared" si="419"/>
        <v>-66649.423799514974</v>
      </c>
      <c r="AV478">
        <f t="shared" si="407"/>
        <v>-1.7211124873666332</v>
      </c>
      <c r="AW478">
        <f t="shared" si="408"/>
        <v>41051.000230289064</v>
      </c>
      <c r="AX478">
        <f t="shared" si="409"/>
        <v>-12645.952484879566</v>
      </c>
      <c r="AY478">
        <f t="shared" si="417"/>
        <v>-0.29882992419227528</v>
      </c>
      <c r="BA478">
        <f t="shared" si="398"/>
        <v>1.5693178229076241</v>
      </c>
      <c r="BB478">
        <f t="shared" si="410"/>
        <v>3.9142181420646125</v>
      </c>
      <c r="BC478">
        <f t="shared" si="411"/>
        <v>-1.4222825631743579</v>
      </c>
      <c r="BD478">
        <f t="shared" si="399"/>
        <v>-261.49078823805638</v>
      </c>
      <c r="BF478">
        <f t="shared" si="400"/>
        <v>-44.961820144646595</v>
      </c>
      <c r="BG478">
        <f t="shared" si="401"/>
        <v>-172.1482533404108</v>
      </c>
      <c r="BH478">
        <f t="shared" si="412"/>
        <v>7.851746659589196</v>
      </c>
      <c r="BI478">
        <f t="shared" si="413"/>
        <v>7.851746659589196</v>
      </c>
      <c r="BJ478">
        <f t="shared" si="402"/>
        <v>0</v>
      </c>
      <c r="BK478">
        <f t="shared" si="414"/>
        <v>0</v>
      </c>
      <c r="BM478">
        <f t="shared" si="415"/>
        <v>-48.876038286711214</v>
      </c>
      <c r="BN478">
        <f t="shared" si="403"/>
        <v>-90.65746510235445</v>
      </c>
      <c r="BQ478" s="66">
        <f t="shared" si="416"/>
        <v>20.816178942349751</v>
      </c>
    </row>
    <row r="479" spans="1:69" x14ac:dyDescent="0.2">
      <c r="A479">
        <f t="shared" si="420"/>
        <v>1325000</v>
      </c>
      <c r="B479">
        <f t="shared" si="404"/>
        <v>1325</v>
      </c>
      <c r="C479">
        <f t="shared" si="373"/>
        <v>82.425749461539567</v>
      </c>
      <c r="D479">
        <f t="shared" si="374"/>
        <v>1.5586638980382028</v>
      </c>
      <c r="F479">
        <f t="shared" si="375"/>
        <v>2.9000248773596901E-6</v>
      </c>
      <c r="G479">
        <f t="shared" si="376"/>
        <v>7.0079332127500303E-4</v>
      </c>
      <c r="H479">
        <f t="shared" si="377"/>
        <v>-3.1408918566787252</v>
      </c>
      <c r="J479">
        <f t="shared" si="378"/>
        <v>15</v>
      </c>
      <c r="M479">
        <f t="shared" si="379"/>
        <v>2.5460371003394834E-3</v>
      </c>
      <c r="N479">
        <f t="shared" si="380"/>
        <v>-1.5707963250000001</v>
      </c>
      <c r="O479">
        <f t="shared" si="381"/>
        <v>392.61867334346977</v>
      </c>
      <c r="P479">
        <f t="shared" si="382"/>
        <v>1.568249323432348</v>
      </c>
      <c r="Q479">
        <f t="shared" si="383"/>
        <v>543.97082810786378</v>
      </c>
      <c r="R479">
        <f t="shared" si="384"/>
        <v>1.5689579918850551</v>
      </c>
      <c r="S479">
        <f t="shared" si="385"/>
        <v>2.0217573551280409E-2</v>
      </c>
      <c r="T479">
        <f t="shared" si="386"/>
        <v>-1.5505773756670702</v>
      </c>
      <c r="U479">
        <f t="shared" si="387"/>
        <v>0.98896581442514342</v>
      </c>
      <c r="V479">
        <f t="shared" si="388"/>
        <v>-0.14869120824587306</v>
      </c>
      <c r="X479">
        <f t="shared" si="405"/>
        <v>-28.182450246072968</v>
      </c>
      <c r="Y479">
        <f t="shared" si="389"/>
        <v>-98.267163759277082</v>
      </c>
      <c r="Z479">
        <f t="shared" si="406"/>
        <v>81.732836240722918</v>
      </c>
      <c r="AC479">
        <v>1</v>
      </c>
      <c r="AD479">
        <f t="shared" si="390"/>
        <v>392.61739984110005</v>
      </c>
      <c r="AE479">
        <f t="shared" si="391"/>
        <v>-3.2686264346477147E-3</v>
      </c>
      <c r="AF479">
        <f t="shared" si="392"/>
        <v>2.1820402989472503E-2</v>
      </c>
      <c r="AG479">
        <f t="shared" si="367"/>
        <v>17591.529666508985</v>
      </c>
      <c r="AH479">
        <f t="shared" si="368"/>
        <v>-2680.9834319771644</v>
      </c>
      <c r="AJ479">
        <f t="shared" si="393"/>
        <v>18000</v>
      </c>
      <c r="AK479">
        <f t="shared" si="394"/>
        <v>890132.57826569991</v>
      </c>
      <c r="AL479">
        <v>1</v>
      </c>
      <c r="AM479">
        <f t="shared" si="395"/>
        <v>543.96990894014994</v>
      </c>
      <c r="AN479">
        <f t="shared" si="369"/>
        <v>1636.4189368052803</v>
      </c>
      <c r="AO479">
        <f t="shared" si="370"/>
        <v>-30.081776205373</v>
      </c>
      <c r="AQ479">
        <f t="shared" si="396"/>
        <v>1.423994101246835E-3</v>
      </c>
      <c r="AR479">
        <f t="shared" si="397"/>
        <v>-3.7735843683041126</v>
      </c>
      <c r="AT479">
        <f t="shared" si="418"/>
        <v>-10091.866936114322</v>
      </c>
      <c r="AU479">
        <f t="shared" si="419"/>
        <v>-66386.93906868904</v>
      </c>
      <c r="AV479">
        <f t="shared" si="407"/>
        <v>-1.7216571799306639</v>
      </c>
      <c r="AW479">
        <f t="shared" si="408"/>
        <v>41045.311263656738</v>
      </c>
      <c r="AX479">
        <f t="shared" si="409"/>
        <v>-12641.853636237582</v>
      </c>
      <c r="AY479">
        <f t="shared" si="417"/>
        <v>-0.29877771342481813</v>
      </c>
      <c r="BA479">
        <f t="shared" si="398"/>
        <v>1.563508410368633</v>
      </c>
      <c r="BB479">
        <f t="shared" si="410"/>
        <v>3.8820044345322118</v>
      </c>
      <c r="BC479">
        <f t="shared" si="411"/>
        <v>-1.4228794665058457</v>
      </c>
      <c r="BD479">
        <f t="shared" si="399"/>
        <v>-261.524988279767</v>
      </c>
      <c r="BF479">
        <f t="shared" si="400"/>
        <v>-45.02687782197512</v>
      </c>
      <c r="BG479">
        <f t="shared" si="401"/>
        <v>-172.17997264105713</v>
      </c>
      <c r="BH479">
        <f t="shared" si="412"/>
        <v>7.8200273589428662</v>
      </c>
      <c r="BI479">
        <f t="shared" si="413"/>
        <v>7.8200273589428662</v>
      </c>
      <c r="BJ479">
        <f t="shared" si="402"/>
        <v>0</v>
      </c>
      <c r="BK479">
        <f t="shared" si="414"/>
        <v>0</v>
      </c>
      <c r="BM479">
        <f t="shared" si="415"/>
        <v>-48.908882256507333</v>
      </c>
      <c r="BN479">
        <f t="shared" si="403"/>
        <v>-90.654984361290118</v>
      </c>
      <c r="BQ479" s="66">
        <f t="shared" si="416"/>
        <v>20.783965234817352</v>
      </c>
    </row>
    <row r="480" spans="1:69" x14ac:dyDescent="0.2">
      <c r="A480">
        <f t="shared" si="420"/>
        <v>1330000</v>
      </c>
      <c r="B480">
        <f t="shared" si="404"/>
        <v>1330</v>
      </c>
      <c r="C480">
        <f t="shared" si="373"/>
        <v>82.736744329961596</v>
      </c>
      <c r="D480">
        <f t="shared" si="374"/>
        <v>1.5587095042221657</v>
      </c>
      <c r="F480">
        <f t="shared" si="375"/>
        <v>2.8782611074403137E-6</v>
      </c>
      <c r="G480">
        <f t="shared" si="376"/>
        <v>6.9815874545124765E-4</v>
      </c>
      <c r="H480">
        <f t="shared" si="377"/>
        <v>-3.1408944912545489</v>
      </c>
      <c r="J480">
        <f t="shared" si="378"/>
        <v>15</v>
      </c>
      <c r="M480">
        <f t="shared" si="379"/>
        <v>2.5364655322930941E-3</v>
      </c>
      <c r="N480">
        <f t="shared" si="380"/>
        <v>-1.5707963250000001</v>
      </c>
      <c r="O480">
        <f t="shared" si="381"/>
        <v>394.10024364962231</v>
      </c>
      <c r="P480">
        <f t="shared" si="382"/>
        <v>1.5682588985917814</v>
      </c>
      <c r="Q480">
        <f t="shared" si="383"/>
        <v>546.0235412898619</v>
      </c>
      <c r="R480">
        <f t="shared" si="384"/>
        <v>1.5689649029030679</v>
      </c>
      <c r="S480">
        <f t="shared" si="385"/>
        <v>2.0141598528211686E-2</v>
      </c>
      <c r="T480">
        <f t="shared" si="386"/>
        <v>-1.5506533661639943</v>
      </c>
      <c r="U480">
        <f t="shared" si="387"/>
        <v>0.98888376649844612</v>
      </c>
      <c r="V480">
        <f t="shared" si="388"/>
        <v>-0.14924402754622562</v>
      </c>
      <c r="X480">
        <f t="shared" si="405"/>
        <v>-28.215878111725132</v>
      </c>
      <c r="Y480">
        <f t="shared" si="389"/>
        <v>-98.299785226641561</v>
      </c>
      <c r="Z480">
        <f t="shared" si="406"/>
        <v>81.700214773358439</v>
      </c>
      <c r="AC480">
        <v>1</v>
      </c>
      <c r="AD480">
        <f t="shared" si="390"/>
        <v>394.09897493484004</v>
      </c>
      <c r="AE480">
        <f t="shared" si="391"/>
        <v>-3.2933418584540218E-3</v>
      </c>
      <c r="AF480">
        <f t="shared" si="392"/>
        <v>2.1902744132829E-2</v>
      </c>
      <c r="AG480">
        <f t="shared" si="367"/>
        <v>17588.610882779562</v>
      </c>
      <c r="AH480">
        <f t="shared" si="368"/>
        <v>-2690.3162496427781</v>
      </c>
      <c r="AJ480">
        <f t="shared" si="393"/>
        <v>18000</v>
      </c>
      <c r="AK480">
        <f t="shared" si="394"/>
        <v>893491.56912707991</v>
      </c>
      <c r="AL480">
        <v>1</v>
      </c>
      <c r="AM480">
        <f t="shared" si="395"/>
        <v>546.02262557766005</v>
      </c>
      <c r="AN480">
        <f t="shared" si="369"/>
        <v>1636.4185217954432</v>
      </c>
      <c r="AO480">
        <f t="shared" si="370"/>
        <v>-29.968687581202051</v>
      </c>
      <c r="AQ480">
        <f t="shared" si="396"/>
        <v>1.4133075056097708E-3</v>
      </c>
      <c r="AR480">
        <f t="shared" si="397"/>
        <v>-3.7593979649219902</v>
      </c>
      <c r="AT480">
        <f t="shared" si="418"/>
        <v>-10089.111318129739</v>
      </c>
      <c r="AU480">
        <f t="shared" si="419"/>
        <v>-66126.390202674345</v>
      </c>
      <c r="AV480">
        <f t="shared" si="407"/>
        <v>-1.7222018427123238</v>
      </c>
      <c r="AW480">
        <f t="shared" si="408"/>
        <v>41039.590243673993</v>
      </c>
      <c r="AX480">
        <f t="shared" si="409"/>
        <v>-12637.935487119659</v>
      </c>
      <c r="AY480">
        <f t="shared" si="417"/>
        <v>-0.2987297278654677</v>
      </c>
      <c r="BA480">
        <f t="shared" si="398"/>
        <v>1.5577414357753312</v>
      </c>
      <c r="BB480">
        <f t="shared" si="410"/>
        <v>3.8499074449716786</v>
      </c>
      <c r="BC480">
        <f t="shared" si="411"/>
        <v>-1.4234721148468561</v>
      </c>
      <c r="BD480">
        <f t="shared" si="399"/>
        <v>-261.55894452848111</v>
      </c>
      <c r="BF480">
        <f t="shared" si="400"/>
        <v>-45.091695037277489</v>
      </c>
      <c r="BG480">
        <f t="shared" si="401"/>
        <v>-172.21146679798321</v>
      </c>
      <c r="BH480">
        <f t="shared" si="412"/>
        <v>7.7885332020167937</v>
      </c>
      <c r="BI480">
        <f t="shared" si="413"/>
        <v>7.7885332020167937</v>
      </c>
      <c r="BJ480">
        <f t="shared" si="402"/>
        <v>0</v>
      </c>
      <c r="BK480">
        <f t="shared" si="414"/>
        <v>0</v>
      </c>
      <c r="BM480">
        <f t="shared" si="415"/>
        <v>-48.941602482249166</v>
      </c>
      <c r="BN480">
        <f t="shared" si="403"/>
        <v>-90.652522269502043</v>
      </c>
      <c r="BQ480" s="66">
        <f t="shared" si="416"/>
        <v>20.751868245256816</v>
      </c>
    </row>
    <row r="481" spans="1:69" x14ac:dyDescent="0.2">
      <c r="A481">
        <f t="shared" si="420"/>
        <v>1335000</v>
      </c>
      <c r="B481">
        <f t="shared" si="404"/>
        <v>1335</v>
      </c>
      <c r="C481">
        <f t="shared" si="373"/>
        <v>83.047739369180917</v>
      </c>
      <c r="D481">
        <f t="shared" si="374"/>
        <v>1.5587547688364918</v>
      </c>
      <c r="F481">
        <f t="shared" si="375"/>
        <v>2.8567414169006336E-6</v>
      </c>
      <c r="G481">
        <f t="shared" si="376"/>
        <v>6.9554390443948041E-4</v>
      </c>
      <c r="H481">
        <f t="shared" si="377"/>
        <v>-3.1408971060955606</v>
      </c>
      <c r="J481">
        <f t="shared" si="378"/>
        <v>15</v>
      </c>
      <c r="M481">
        <f t="shared" si="379"/>
        <v>2.5269656613856294E-3</v>
      </c>
      <c r="N481">
        <f t="shared" si="380"/>
        <v>-1.5707963250000001</v>
      </c>
      <c r="O481">
        <f t="shared" si="381"/>
        <v>395.58181399163681</v>
      </c>
      <c r="P481">
        <f t="shared" si="382"/>
        <v>1.5682684020276341</v>
      </c>
      <c r="Q481">
        <f t="shared" si="383"/>
        <v>548.07625449774389</v>
      </c>
      <c r="R481">
        <f t="shared" si="384"/>
        <v>1.5689717621533288</v>
      </c>
      <c r="S481">
        <f t="shared" si="385"/>
        <v>2.0066192261419445E-2</v>
      </c>
      <c r="T481">
        <f t="shared" si="386"/>
        <v>-1.5507287876737728</v>
      </c>
      <c r="U481">
        <f t="shared" si="387"/>
        <v>0.98880143007302446</v>
      </c>
      <c r="V481">
        <f t="shared" si="388"/>
        <v>-0.1497967549578087</v>
      </c>
      <c r="X481">
        <f t="shared" si="405"/>
        <v>-28.249185902210407</v>
      </c>
      <c r="Y481">
        <f t="shared" si="389"/>
        <v>-98.332394343914601</v>
      </c>
      <c r="Z481">
        <f t="shared" si="406"/>
        <v>81.667605656085399</v>
      </c>
      <c r="AC481">
        <v>1</v>
      </c>
      <c r="AD481">
        <f t="shared" si="390"/>
        <v>395.58055002858003</v>
      </c>
      <c r="AE481">
        <f t="shared" si="391"/>
        <v>-3.3181503723688278E-3</v>
      </c>
      <c r="AF481">
        <f t="shared" si="392"/>
        <v>2.19850852761855E-2</v>
      </c>
      <c r="AG481">
        <f t="shared" si="367"/>
        <v>17585.682079399492</v>
      </c>
      <c r="AH481">
        <f t="shared" si="368"/>
        <v>-2699.6455458105479</v>
      </c>
      <c r="AJ481">
        <f t="shared" si="393"/>
        <v>18000</v>
      </c>
      <c r="AK481">
        <f t="shared" si="394"/>
        <v>896850.55998845992</v>
      </c>
      <c r="AL481">
        <v>1</v>
      </c>
      <c r="AM481">
        <f t="shared" si="395"/>
        <v>548.07534221517005</v>
      </c>
      <c r="AN481">
        <f t="shared" si="369"/>
        <v>1636.4181114398796</v>
      </c>
      <c r="AO481">
        <f t="shared" si="370"/>
        <v>-29.856446054338104</v>
      </c>
      <c r="AQ481">
        <f t="shared" si="396"/>
        <v>1.402740759059496E-3</v>
      </c>
      <c r="AR481">
        <f t="shared" si="397"/>
        <v>-3.7453178266888543</v>
      </c>
      <c r="AT481">
        <f t="shared" si="418"/>
        <v>-10086.362435436771</v>
      </c>
      <c r="AU481">
        <f t="shared" si="419"/>
        <v>-65867.755489299758</v>
      </c>
      <c r="AV481">
        <f t="shared" si="407"/>
        <v>-1.722746474702274</v>
      </c>
      <c r="AW481">
        <f t="shared" si="408"/>
        <v>41033.837336201759</v>
      </c>
      <c r="AX481">
        <f t="shared" si="409"/>
        <v>-12634.19585113402</v>
      </c>
      <c r="AY481">
        <f t="shared" si="417"/>
        <v>-0.29868591973913333</v>
      </c>
      <c r="BA481">
        <f t="shared" si="398"/>
        <v>1.55201644036505</v>
      </c>
      <c r="BB481">
        <f t="shared" si="410"/>
        <v>3.8179263477475822</v>
      </c>
      <c r="BC481">
        <f t="shared" si="411"/>
        <v>-1.4240605549631407</v>
      </c>
      <c r="BD481">
        <f t="shared" si="399"/>
        <v>-261.59265966367894</v>
      </c>
      <c r="BF481">
        <f t="shared" si="400"/>
        <v>-45.156273545274743</v>
      </c>
      <c r="BG481">
        <f t="shared" si="401"/>
        <v>-172.24273828117012</v>
      </c>
      <c r="BH481">
        <f t="shared" si="412"/>
        <v>7.7572617188298807</v>
      </c>
      <c r="BI481">
        <f t="shared" si="413"/>
        <v>7.7572617188298807</v>
      </c>
      <c r="BJ481">
        <f t="shared" si="402"/>
        <v>0</v>
      </c>
      <c r="BK481">
        <f t="shared" si="414"/>
        <v>0</v>
      </c>
      <c r="BM481">
        <f t="shared" si="415"/>
        <v>-48.974199893022323</v>
      </c>
      <c r="BN481">
        <f t="shared" si="403"/>
        <v>-90.650078617491161</v>
      </c>
      <c r="BQ481" s="66">
        <f t="shared" si="416"/>
        <v>20.719887148032718</v>
      </c>
    </row>
    <row r="482" spans="1:69" x14ac:dyDescent="0.2">
      <c r="A482">
        <f t="shared" si="420"/>
        <v>1340000</v>
      </c>
      <c r="B482">
        <f t="shared" si="404"/>
        <v>1340</v>
      </c>
      <c r="C482">
        <f t="shared" si="373"/>
        <v>83.358734577285887</v>
      </c>
      <c r="D482">
        <f t="shared" si="374"/>
        <v>1.5587996957039838</v>
      </c>
      <c r="F482">
        <f t="shared" si="375"/>
        <v>2.8354621695540168E-6</v>
      </c>
      <c r="G482">
        <f t="shared" si="376"/>
        <v>6.9294857732522819E-4</v>
      </c>
      <c r="H482">
        <f t="shared" si="377"/>
        <v>-3.1408997014226752</v>
      </c>
      <c r="J482">
        <f t="shared" si="378"/>
        <v>15</v>
      </c>
      <c r="M482">
        <f t="shared" si="379"/>
        <v>2.5175366850371753E-3</v>
      </c>
      <c r="N482">
        <f t="shared" si="380"/>
        <v>-1.5707963250000001</v>
      </c>
      <c r="O482">
        <f t="shared" si="381"/>
        <v>397.0633843691117</v>
      </c>
      <c r="P482">
        <f t="shared" si="382"/>
        <v>1.5682778345427753</v>
      </c>
      <c r="Q482">
        <f t="shared" si="383"/>
        <v>550.12896773122009</v>
      </c>
      <c r="R482">
        <f t="shared" si="384"/>
        <v>1.5689785702153243</v>
      </c>
      <c r="S482">
        <f t="shared" si="385"/>
        <v>1.999134838934714E-2</v>
      </c>
      <c r="T482">
        <f t="shared" si="386"/>
        <v>-1.5508036465622514</v>
      </c>
      <c r="U482">
        <f t="shared" si="387"/>
        <v>0.98871880537184276</v>
      </c>
      <c r="V482">
        <f t="shared" si="388"/>
        <v>-0.15034939016589033</v>
      </c>
      <c r="X482">
        <f t="shared" si="405"/>
        <v>-28.282374532702015</v>
      </c>
      <c r="Y482">
        <f t="shared" si="389"/>
        <v>-98.364991172223455</v>
      </c>
      <c r="Z482">
        <f t="shared" si="406"/>
        <v>81.635008827776545</v>
      </c>
      <c r="AC482">
        <v>1</v>
      </c>
      <c r="AD482">
        <f t="shared" si="390"/>
        <v>397.06212512232003</v>
      </c>
      <c r="AE482">
        <f t="shared" si="391"/>
        <v>-3.3430519763921317E-3</v>
      </c>
      <c r="AF482">
        <f t="shared" si="392"/>
        <v>2.2067426419542003E-2</v>
      </c>
      <c r="AG482">
        <f t="shared" si="367"/>
        <v>17582.743266862341</v>
      </c>
      <c r="AH482">
        <f t="shared" si="368"/>
        <v>-2708.9712906322811</v>
      </c>
      <c r="AJ482">
        <f t="shared" si="393"/>
        <v>18000</v>
      </c>
      <c r="AK482">
        <f t="shared" si="394"/>
        <v>900209.55084983993</v>
      </c>
      <c r="AL482">
        <v>1</v>
      </c>
      <c r="AM482">
        <f t="shared" si="395"/>
        <v>550.12805885268006</v>
      </c>
      <c r="AN482">
        <f t="shared" si="369"/>
        <v>1636.4177056692529</v>
      </c>
      <c r="AO482">
        <f t="shared" si="370"/>
        <v>-29.745042142474656</v>
      </c>
      <c r="AQ482">
        <f t="shared" si="396"/>
        <v>1.3922920761455676E-3</v>
      </c>
      <c r="AR482">
        <f t="shared" si="397"/>
        <v>-3.7313427640701207</v>
      </c>
      <c r="AT482">
        <f t="shared" si="418"/>
        <v>-10083.620109247104</v>
      </c>
      <c r="AU482">
        <f t="shared" si="419"/>
        <v>-65611.01354057189</v>
      </c>
      <c r="AV482">
        <f t="shared" si="407"/>
        <v>-1.7232910749018668</v>
      </c>
      <c r="AW482">
        <f t="shared" si="408"/>
        <v>41028.052704518777</v>
      </c>
      <c r="AX482">
        <f t="shared" si="409"/>
        <v>-12630.632574073676</v>
      </c>
      <c r="AY482">
        <f t="shared" si="417"/>
        <v>-0.29864624196048417</v>
      </c>
      <c r="BA482">
        <f t="shared" si="398"/>
        <v>1.5463329718962422</v>
      </c>
      <c r="BB482">
        <f t="shared" si="410"/>
        <v>3.7860603257579397</v>
      </c>
      <c r="BC482">
        <f t="shared" si="411"/>
        <v>-1.4246448329413828</v>
      </c>
      <c r="BD482">
        <f t="shared" si="399"/>
        <v>-261.62613632593292</v>
      </c>
      <c r="BF482">
        <f t="shared" si="400"/>
        <v>-45.220615081728461</v>
      </c>
      <c r="BG482">
        <f t="shared" si="401"/>
        <v>-172.27378952481737</v>
      </c>
      <c r="BH482">
        <f t="shared" si="412"/>
        <v>7.7262104751826257</v>
      </c>
      <c r="BI482">
        <f t="shared" si="413"/>
        <v>7.7262104751826257</v>
      </c>
      <c r="BJ482">
        <f t="shared" si="402"/>
        <v>0</v>
      </c>
      <c r="BK482">
        <f t="shared" si="414"/>
        <v>0</v>
      </c>
      <c r="BM482">
        <f t="shared" si="415"/>
        <v>-49.006675407486398</v>
      </c>
      <c r="BN482">
        <f t="shared" si="403"/>
        <v>-90.647653198884456</v>
      </c>
      <c r="BQ482" s="66">
        <f t="shared" si="416"/>
        <v>20.688021126043076</v>
      </c>
    </row>
    <row r="483" spans="1:69" x14ac:dyDescent="0.2">
      <c r="A483">
        <f t="shared" si="420"/>
        <v>1345000</v>
      </c>
      <c r="B483">
        <f t="shared" si="404"/>
        <v>1345</v>
      </c>
      <c r="C483">
        <f t="shared" si="373"/>
        <v>83.669729952393311</v>
      </c>
      <c r="D483">
        <f t="shared" si="374"/>
        <v>1.5588442885906142</v>
      </c>
      <c r="F483">
        <f t="shared" si="375"/>
        <v>2.8144197966754274E-6</v>
      </c>
      <c r="G483">
        <f t="shared" si="376"/>
        <v>6.9037254647903517E-4</v>
      </c>
      <c r="H483">
        <f t="shared" si="377"/>
        <v>-3.1409022774535211</v>
      </c>
      <c r="J483">
        <f t="shared" si="378"/>
        <v>15</v>
      </c>
      <c r="M483">
        <f t="shared" si="379"/>
        <v>2.5081778126020931E-3</v>
      </c>
      <c r="N483">
        <f t="shared" si="380"/>
        <v>-1.5707963250000001</v>
      </c>
      <c r="O483">
        <f t="shared" si="381"/>
        <v>398.54495478165165</v>
      </c>
      <c r="P483">
        <f t="shared" si="382"/>
        <v>1.5682871969281356</v>
      </c>
      <c r="Q483">
        <f t="shared" si="383"/>
        <v>552.18168099000502</v>
      </c>
      <c r="R483">
        <f t="shared" si="384"/>
        <v>1.5689853276599255</v>
      </c>
      <c r="S483">
        <f t="shared" si="385"/>
        <v>1.99170606449393E-2</v>
      </c>
      <c r="T483">
        <f t="shared" si="386"/>
        <v>-1.5508779491006806</v>
      </c>
      <c r="U483">
        <f t="shared" si="387"/>
        <v>0.98863589261854556</v>
      </c>
      <c r="V483">
        <f t="shared" si="388"/>
        <v>-0.15090193285606884</v>
      </c>
      <c r="X483">
        <f t="shared" si="405"/>
        <v>-28.315444908138684</v>
      </c>
      <c r="Y483">
        <f t="shared" si="389"/>
        <v>-98.397575771539664</v>
      </c>
      <c r="Z483">
        <f t="shared" si="406"/>
        <v>81.602424228460336</v>
      </c>
      <c r="AC483">
        <v>1</v>
      </c>
      <c r="AD483">
        <f t="shared" si="390"/>
        <v>398.54370021606007</v>
      </c>
      <c r="AE483">
        <f t="shared" si="391"/>
        <v>-3.3680466705239345E-3</v>
      </c>
      <c r="AF483">
        <f t="shared" si="392"/>
        <v>2.2149767562898499E-2</v>
      </c>
      <c r="AG483">
        <f t="shared" si="367"/>
        <v>17579.794455692219</v>
      </c>
      <c r="AH483">
        <f t="shared" si="368"/>
        <v>-2718.2934545029752</v>
      </c>
      <c r="AJ483">
        <f t="shared" si="393"/>
        <v>18000</v>
      </c>
      <c r="AK483">
        <f t="shared" si="394"/>
        <v>903568.54171122005</v>
      </c>
      <c r="AL483">
        <v>1</v>
      </c>
      <c r="AM483">
        <f t="shared" si="395"/>
        <v>552.18077549018994</v>
      </c>
      <c r="AN483">
        <f t="shared" si="369"/>
        <v>1636.4173044155134</v>
      </c>
      <c r="AO483">
        <f t="shared" si="370"/>
        <v>-29.63446650430372</v>
      </c>
      <c r="AQ483">
        <f t="shared" si="396"/>
        <v>1.3819597045425431E-3</v>
      </c>
      <c r="AR483">
        <f t="shared" si="397"/>
        <v>-3.7174716052194405</v>
      </c>
      <c r="AT483">
        <f t="shared" si="418"/>
        <v>-10080.884164216766</v>
      </c>
      <c r="AU483">
        <f t="shared" si="419"/>
        <v>-65356.143286649218</v>
      </c>
      <c r="AV483">
        <f t="shared" si="407"/>
        <v>-1.7238356423229551</v>
      </c>
      <c r="AW483">
        <f t="shared" si="408"/>
        <v>41022.236509380527</v>
      </c>
      <c r="AX483">
        <f t="shared" si="409"/>
        <v>-12627.243533319448</v>
      </c>
      <c r="AY483">
        <f t="shared" si="417"/>
        <v>-0.29861064812154364</v>
      </c>
      <c r="BA483">
        <f t="shared" si="398"/>
        <v>1.5406905845342722</v>
      </c>
      <c r="BB483">
        <f t="shared" si="410"/>
        <v>3.7543085703200365</v>
      </c>
      <c r="BC483">
        <f t="shared" si="411"/>
        <v>-1.4252249942014115</v>
      </c>
      <c r="BD483">
        <f t="shared" si="399"/>
        <v>-261.65937711760756</v>
      </c>
      <c r="BF483">
        <f t="shared" si="400"/>
        <v>-45.284721363710467</v>
      </c>
      <c r="BG483">
        <f t="shared" si="401"/>
        <v>-172.30462292798438</v>
      </c>
      <c r="BH483">
        <f t="shared" si="412"/>
        <v>7.6953770720156172</v>
      </c>
      <c r="BI483">
        <f t="shared" si="413"/>
        <v>7.6953770720156172</v>
      </c>
      <c r="BJ483">
        <f t="shared" si="402"/>
        <v>0</v>
      </c>
      <c r="BK483">
        <f t="shared" si="414"/>
        <v>0</v>
      </c>
      <c r="BM483">
        <f t="shared" si="415"/>
        <v>-49.039029934030502</v>
      </c>
      <c r="BN483">
        <f t="shared" si="403"/>
        <v>-90.645245810376863</v>
      </c>
      <c r="BQ483" s="66">
        <f t="shared" si="416"/>
        <v>20.656269370605177</v>
      </c>
    </row>
    <row r="484" spans="1:69" x14ac:dyDescent="0.2">
      <c r="A484">
        <f t="shared" si="420"/>
        <v>1350000</v>
      </c>
      <c r="B484">
        <f t="shared" si="404"/>
        <v>1350</v>
      </c>
      <c r="C484">
        <f t="shared" si="373"/>
        <v>83.980725492647863</v>
      </c>
      <c r="D484">
        <f t="shared" si="374"/>
        <v>1.5588885512065753</v>
      </c>
      <c r="F484">
        <f t="shared" si="375"/>
        <v>2.7936107955050609E-6</v>
      </c>
      <c r="G484">
        <f t="shared" si="376"/>
        <v>6.8781559749562984E-4</v>
      </c>
      <c r="H484">
        <f t="shared" si="377"/>
        <v>-3.1409048344025048</v>
      </c>
      <c r="J484">
        <f t="shared" si="378"/>
        <v>15</v>
      </c>
      <c r="M484">
        <f t="shared" si="379"/>
        <v>2.4988882651480115E-3</v>
      </c>
      <c r="N484">
        <f t="shared" si="380"/>
        <v>-1.5707963250000001</v>
      </c>
      <c r="O484">
        <f t="shared" si="381"/>
        <v>400.026525228867</v>
      </c>
      <c r="P484">
        <f t="shared" si="382"/>
        <v>1.5682964899629281</v>
      </c>
      <c r="Q484">
        <f t="shared" si="383"/>
        <v>554.23439427381743</v>
      </c>
      <c r="R484">
        <f t="shared" si="384"/>
        <v>1.5689920350495448</v>
      </c>
      <c r="S484">
        <f t="shared" si="385"/>
        <v>1.9843322853893629E-2</v>
      </c>
      <c r="T484">
        <f t="shared" si="386"/>
        <v>-1.550951701467463</v>
      </c>
      <c r="U484">
        <f t="shared" si="387"/>
        <v>0.98855269203745588</v>
      </c>
      <c r="V484">
        <f t="shared" si="388"/>
        <v>-0.15145438271427378</v>
      </c>
      <c r="X484">
        <f t="shared" si="405"/>
        <v>-28.348397923376361</v>
      </c>
      <c r="Y484">
        <f t="shared" si="389"/>
        <v>-98.430148200701566</v>
      </c>
      <c r="Z484">
        <f t="shared" si="406"/>
        <v>81.569851799298434</v>
      </c>
      <c r="AC484">
        <v>1</v>
      </c>
      <c r="AD484">
        <f t="shared" si="390"/>
        <v>400.02527530980007</v>
      </c>
      <c r="AE484">
        <f t="shared" si="391"/>
        <v>-3.3931344547642353E-3</v>
      </c>
      <c r="AF484">
        <f t="shared" si="392"/>
        <v>2.2232108706255003E-2</v>
      </c>
      <c r="AG484">
        <f t="shared" si="367"/>
        <v>17576.835656443622</v>
      </c>
      <c r="AH484">
        <f t="shared" si="368"/>
        <v>-2727.6120080568958</v>
      </c>
      <c r="AJ484">
        <f t="shared" si="393"/>
        <v>18000</v>
      </c>
      <c r="AK484">
        <f t="shared" si="394"/>
        <v>906927.53257259983</v>
      </c>
      <c r="AL484">
        <v>1</v>
      </c>
      <c r="AM484">
        <f t="shared" si="395"/>
        <v>554.23349212769995</v>
      </c>
      <c r="AN484">
        <f t="shared" si="369"/>
        <v>1636.4169076118671</v>
      </c>
      <c r="AO484">
        <f t="shared" si="370"/>
        <v>-29.52470993690477</v>
      </c>
      <c r="AQ484">
        <f t="shared" si="396"/>
        <v>1.3717419243152367E-3</v>
      </c>
      <c r="AR484">
        <f t="shared" si="397"/>
        <v>-3.7037031956511393</v>
      </c>
      <c r="AT484">
        <f t="shared" si="418"/>
        <v>-10078.154428370004</v>
      </c>
      <c r="AU484">
        <f t="shared" si="419"/>
        <v>-65103.123969949847</v>
      </c>
      <c r="AV484">
        <f t="shared" si="407"/>
        <v>-1.7243801759877033</v>
      </c>
      <c r="AW484">
        <f t="shared" si="408"/>
        <v>41016.38890907634</v>
      </c>
      <c r="AX484">
        <f t="shared" si="409"/>
        <v>-12624.026637256175</v>
      </c>
      <c r="AY484">
        <f t="shared" si="417"/>
        <v>-0.29857909247955111</v>
      </c>
      <c r="BA484">
        <f t="shared" si="398"/>
        <v>1.5350888387395762</v>
      </c>
      <c r="BB484">
        <f t="shared" si="410"/>
        <v>3.7226702810581234</v>
      </c>
      <c r="BC484">
        <f t="shared" si="411"/>
        <v>-1.4258010835081523</v>
      </c>
      <c r="BD484">
        <f t="shared" si="399"/>
        <v>-261.69238460354416</v>
      </c>
      <c r="BF484">
        <f t="shared" si="400"/>
        <v>-45.348594089867618</v>
      </c>
      <c r="BG484">
        <f t="shared" si="401"/>
        <v>-172.33524085521864</v>
      </c>
      <c r="BH484">
        <f t="shared" si="412"/>
        <v>7.6647591447813568</v>
      </c>
      <c r="BI484">
        <f t="shared" si="413"/>
        <v>7.6647591447813568</v>
      </c>
      <c r="BJ484">
        <f t="shared" si="402"/>
        <v>0</v>
      </c>
      <c r="BK484">
        <f t="shared" si="414"/>
        <v>0</v>
      </c>
      <c r="BM484">
        <f t="shared" si="415"/>
        <v>-49.071264370925746</v>
      </c>
      <c r="BN484">
        <f t="shared" si="403"/>
        <v>-90.64285625167453</v>
      </c>
      <c r="BQ484" s="66">
        <f t="shared" si="416"/>
        <v>20.62463108134326</v>
      </c>
    </row>
    <row r="485" spans="1:69" x14ac:dyDescent="0.2">
      <c r="A485">
        <f t="shared" si="420"/>
        <v>1355000</v>
      </c>
      <c r="B485">
        <f t="shared" si="404"/>
        <v>1355</v>
      </c>
      <c r="C485">
        <f t="shared" si="373"/>
        <v>84.291721196221602</v>
      </c>
      <c r="D485">
        <f t="shared" si="374"/>
        <v>1.5589324872073105</v>
      </c>
      <c r="F485">
        <f t="shared" si="375"/>
        <v>2.7730317277905523E-6</v>
      </c>
      <c r="G485">
        <f t="shared" si="376"/>
        <v>6.8527751913443507E-4</v>
      </c>
      <c r="H485">
        <f t="shared" si="377"/>
        <v>-3.1409073724808656</v>
      </c>
      <c r="J485">
        <f t="shared" si="378"/>
        <v>15</v>
      </c>
      <c r="M485">
        <f t="shared" si="379"/>
        <v>2.4896672752397161E-3</v>
      </c>
      <c r="N485">
        <f t="shared" si="380"/>
        <v>-1.5707963250000001</v>
      </c>
      <c r="O485">
        <f t="shared" si="381"/>
        <v>401.50809571037382</v>
      </c>
      <c r="P485">
        <f t="shared" si="382"/>
        <v>1.5683057144148653</v>
      </c>
      <c r="Q485">
        <f t="shared" si="383"/>
        <v>556.28710758238037</v>
      </c>
      <c r="R485">
        <f t="shared" si="384"/>
        <v>1.5689986929382944</v>
      </c>
      <c r="S485">
        <f t="shared" si="385"/>
        <v>1.9770128932951693E-2</v>
      </c>
      <c r="T485">
        <f t="shared" si="386"/>
        <v>-1.5510249097498685</v>
      </c>
      <c r="U485">
        <f t="shared" si="387"/>
        <v>0.98846920385357362</v>
      </c>
      <c r="V485">
        <f t="shared" si="388"/>
        <v>-0.15200673942676693</v>
      </c>
      <c r="X485">
        <f t="shared" si="405"/>
        <v>-28.381234463337041</v>
      </c>
      <c r="Y485">
        <f t="shared" si="389"/>
        <v>-98.462708517434805</v>
      </c>
      <c r="Z485">
        <f t="shared" si="406"/>
        <v>81.537291482565195</v>
      </c>
      <c r="AC485">
        <v>1</v>
      </c>
      <c r="AD485">
        <f t="shared" si="390"/>
        <v>401.50685040354006</v>
      </c>
      <c r="AE485">
        <f t="shared" si="391"/>
        <v>-3.418315329113034E-3</v>
      </c>
      <c r="AF485">
        <f t="shared" si="392"/>
        <v>2.2314449849611499E-2</v>
      </c>
      <c r="AG485">
        <f t="shared" si="367"/>
        <v>17573.8668797014</v>
      </c>
      <c r="AH485">
        <f t="shared" si="368"/>
        <v>-2736.9269221637765</v>
      </c>
      <c r="AJ485">
        <f t="shared" si="393"/>
        <v>18000</v>
      </c>
      <c r="AK485">
        <f t="shared" si="394"/>
        <v>910286.52343397995</v>
      </c>
      <c r="AL485">
        <v>1</v>
      </c>
      <c r="AM485">
        <f t="shared" si="395"/>
        <v>556.28620876520995</v>
      </c>
      <c r="AN485">
        <f t="shared" si="369"/>
        <v>1636.416515192753</v>
      </c>
      <c r="AO485">
        <f t="shared" si="370"/>
        <v>-29.415763373191545</v>
      </c>
      <c r="AQ485">
        <f t="shared" si="396"/>
        <v>1.3616370472029184E-3</v>
      </c>
      <c r="AR485">
        <f t="shared" si="397"/>
        <v>-3.6900363979199087</v>
      </c>
      <c r="AT485">
        <f t="shared" si="418"/>
        <v>-10075.43073302523</v>
      </c>
      <c r="AU485">
        <f t="shared" si="419"/>
        <v>-64851.935139390043</v>
      </c>
      <c r="AV485">
        <f t="shared" si="407"/>
        <v>-1.7249246749284062</v>
      </c>
      <c r="AW485">
        <f t="shared" si="408"/>
        <v>41010.510059485408</v>
      </c>
      <c r="AX485">
        <f t="shared" si="409"/>
        <v>-12620.979824701935</v>
      </c>
      <c r="AY485">
        <f t="shared" si="417"/>
        <v>-0.29855152994508116</v>
      </c>
      <c r="BA485">
        <f t="shared" si="398"/>
        <v>1.5295273011581223</v>
      </c>
      <c r="BB485">
        <f t="shared" si="410"/>
        <v>3.6911446657928777</v>
      </c>
      <c r="BC485">
        <f t="shared" si="411"/>
        <v>-1.426373144983325</v>
      </c>
      <c r="BD485">
        <f t="shared" si="399"/>
        <v>-261.72516131173103</v>
      </c>
      <c r="BF485">
        <f t="shared" si="400"/>
        <v>-45.412234940682112</v>
      </c>
      <c r="BG485">
        <f t="shared" si="401"/>
        <v>-172.36564563717019</v>
      </c>
      <c r="BH485">
        <f t="shared" si="412"/>
        <v>7.6343543628298107</v>
      </c>
      <c r="BI485">
        <f t="shared" si="413"/>
        <v>7.6343543628298107</v>
      </c>
      <c r="BJ485">
        <f t="shared" si="402"/>
        <v>0</v>
      </c>
      <c r="BK485">
        <f t="shared" si="414"/>
        <v>0</v>
      </c>
      <c r="BM485">
        <f t="shared" si="415"/>
        <v>-49.103379606474988</v>
      </c>
      <c r="BN485">
        <f t="shared" si="403"/>
        <v>-90.640484325439175</v>
      </c>
      <c r="BQ485" s="66">
        <f t="shared" si="416"/>
        <v>20.593105466078011</v>
      </c>
    </row>
    <row r="486" spans="1:69" x14ac:dyDescent="0.2">
      <c r="A486">
        <f t="shared" si="420"/>
        <v>1360000</v>
      </c>
      <c r="B486">
        <f t="shared" si="404"/>
        <v>1360</v>
      </c>
      <c r="C486">
        <f t="shared" si="373"/>
        <v>84.602717061313484</v>
      </c>
      <c r="D486">
        <f t="shared" si="374"/>
        <v>1.5589761001945186</v>
      </c>
      <c r="F486">
        <f t="shared" si="375"/>
        <v>2.7526792183666278E-6</v>
      </c>
      <c r="G486">
        <f t="shared" si="376"/>
        <v>6.8275810326139509E-4</v>
      </c>
      <c r="H486">
        <f t="shared" si="377"/>
        <v>-3.1409098918967389</v>
      </c>
      <c r="J486">
        <f t="shared" si="378"/>
        <v>15</v>
      </c>
      <c r="M486">
        <f t="shared" si="379"/>
        <v>2.4805140867278056E-3</v>
      </c>
      <c r="N486">
        <f t="shared" si="380"/>
        <v>-1.5707963250000001</v>
      </c>
      <c r="O486">
        <f t="shared" si="381"/>
        <v>402.989666225794</v>
      </c>
      <c r="P486">
        <f t="shared" si="382"/>
        <v>1.5683148710403689</v>
      </c>
      <c r="Q486">
        <f t="shared" si="383"/>
        <v>558.33982091542077</v>
      </c>
      <c r="R486">
        <f t="shared" si="384"/>
        <v>1.569005301872137</v>
      </c>
      <c r="S486">
        <f t="shared" si="385"/>
        <v>1.9697472888227284E-2</v>
      </c>
      <c r="T486">
        <f t="shared" si="386"/>
        <v>-1.5510975799457059</v>
      </c>
      <c r="U486">
        <f t="shared" si="387"/>
        <v>0.98838542829257436</v>
      </c>
      <c r="V486">
        <f t="shared" si="388"/>
        <v>-0.15255900268014314</v>
      </c>
      <c r="X486">
        <f t="shared" si="405"/>
        <v>-28.413955403154919</v>
      </c>
      <c r="Y486">
        <f t="shared" si="389"/>
        <v>-98.495256778373658</v>
      </c>
      <c r="Z486">
        <f t="shared" si="406"/>
        <v>81.504743221626342</v>
      </c>
      <c r="AC486">
        <v>1</v>
      </c>
      <c r="AD486">
        <f t="shared" si="390"/>
        <v>402.98842549728005</v>
      </c>
      <c r="AE486">
        <f t="shared" si="391"/>
        <v>-3.443589293570332E-3</v>
      </c>
      <c r="AF486">
        <f t="shared" si="392"/>
        <v>2.2396790992968003E-2</v>
      </c>
      <c r="AG486">
        <f t="shared" si="367"/>
        <v>17570.88813608063</v>
      </c>
      <c r="AH486">
        <f t="shared" si="368"/>
        <v>-2746.238167925073</v>
      </c>
      <c r="AJ486">
        <f t="shared" si="393"/>
        <v>18000</v>
      </c>
      <c r="AK486">
        <f t="shared" si="394"/>
        <v>913645.51429535996</v>
      </c>
      <c r="AL486">
        <v>1</v>
      </c>
      <c r="AM486">
        <f t="shared" si="395"/>
        <v>558.33892540271995</v>
      </c>
      <c r="AN486">
        <f t="shared" si="369"/>
        <v>1636.4161270938114</v>
      </c>
      <c r="AO486">
        <f t="shared" si="370"/>
        <v>-29.307617879415133</v>
      </c>
      <c r="AQ486">
        <f t="shared" si="396"/>
        <v>1.3516434159218998E-3</v>
      </c>
      <c r="AR486">
        <f t="shared" si="397"/>
        <v>-3.6764700913075679</v>
      </c>
      <c r="AT486">
        <f t="shared" si="418"/>
        <v>-10072.712912722787</v>
      </c>
      <c r="AU486">
        <f t="shared" si="419"/>
        <v>-64602.556644749646</v>
      </c>
      <c r="AV486">
        <f t="shared" si="407"/>
        <v>-1.725469138187308</v>
      </c>
      <c r="AW486">
        <f t="shared" si="408"/>
        <v>41004.600114130997</v>
      </c>
      <c r="AX486">
        <f t="shared" si="409"/>
        <v>-12618.10106434983</v>
      </c>
      <c r="AY486">
        <f t="shared" si="417"/>
        <v>-0.29852791607041629</v>
      </c>
      <c r="BA486">
        <f t="shared" si="398"/>
        <v>1.5240055445141327</v>
      </c>
      <c r="BB486">
        <f t="shared" si="410"/>
        <v>3.6597309404326901</v>
      </c>
      <c r="BC486">
        <f t="shared" si="411"/>
        <v>-1.4269412221168918</v>
      </c>
      <c r="BD486">
        <f t="shared" si="399"/>
        <v>-261.75770973395947</v>
      </c>
      <c r="BF486">
        <f t="shared" si="400"/>
        <v>-45.475645578727146</v>
      </c>
      <c r="BG486">
        <f t="shared" si="401"/>
        <v>-172.39583957119331</v>
      </c>
      <c r="BH486">
        <f t="shared" si="412"/>
        <v>7.6041604288066935</v>
      </c>
      <c r="BI486">
        <f t="shared" si="413"/>
        <v>7.6041604288066935</v>
      </c>
      <c r="BJ486">
        <f t="shared" si="402"/>
        <v>0</v>
      </c>
      <c r="BK486">
        <f t="shared" si="414"/>
        <v>0</v>
      </c>
      <c r="BM486">
        <f t="shared" si="415"/>
        <v>-49.135376519159841</v>
      </c>
      <c r="BN486">
        <f t="shared" si="403"/>
        <v>-90.638129837233876</v>
      </c>
      <c r="BQ486" s="66">
        <f t="shared" si="416"/>
        <v>20.561691740717826</v>
      </c>
    </row>
    <row r="487" spans="1:69" x14ac:dyDescent="0.2">
      <c r="A487">
        <f t="shared" si="420"/>
        <v>1365000</v>
      </c>
      <c r="B487">
        <f t="shared" si="404"/>
        <v>1365</v>
      </c>
      <c r="C487">
        <f t="shared" si="373"/>
        <v>84.913713086148817</v>
      </c>
      <c r="D487">
        <f t="shared" si="374"/>
        <v>1.5590193937171388</v>
      </c>
      <c r="F487">
        <f t="shared" si="375"/>
        <v>2.7325499537711163E-6</v>
      </c>
      <c r="G487">
        <f t="shared" si="376"/>
        <v>6.8025714479207577E-4</v>
      </c>
      <c r="H487">
        <f t="shared" si="377"/>
        <v>-3.1409123928552081</v>
      </c>
      <c r="J487">
        <f t="shared" si="378"/>
        <v>15</v>
      </c>
      <c r="M487">
        <f t="shared" si="379"/>
        <v>2.4714279545419893E-3</v>
      </c>
      <c r="N487">
        <f t="shared" si="380"/>
        <v>-1.5707963250000001</v>
      </c>
      <c r="O487">
        <f t="shared" si="381"/>
        <v>404.4712367747548</v>
      </c>
      <c r="P487">
        <f t="shared" si="382"/>
        <v>1.5683239605847787</v>
      </c>
      <c r="Q487">
        <f t="shared" si="383"/>
        <v>560.39253427266976</v>
      </c>
      <c r="R487">
        <f t="shared" si="384"/>
        <v>1.569011862389037</v>
      </c>
      <c r="S487">
        <f t="shared" si="385"/>
        <v>1.9625348813571513E-2</v>
      </c>
      <c r="T487">
        <f t="shared" si="386"/>
        <v>-1.5511697179649611</v>
      </c>
      <c r="U487">
        <f t="shared" si="387"/>
        <v>0.98830136558080661</v>
      </c>
      <c r="V487">
        <f t="shared" si="388"/>
        <v>-0.15311117216133135</v>
      </c>
      <c r="X487">
        <f t="shared" si="405"/>
        <v>-28.446561608319829</v>
      </c>
      <c r="Y487">
        <f t="shared" si="389"/>
        <v>-98.527793039081075</v>
      </c>
      <c r="Z487">
        <f t="shared" si="406"/>
        <v>81.472206960918925</v>
      </c>
      <c r="AC487">
        <v>1</v>
      </c>
      <c r="AD487">
        <f t="shared" si="390"/>
        <v>404.47000059102004</v>
      </c>
      <c r="AE487">
        <f t="shared" si="391"/>
        <v>-3.4689563481361272E-3</v>
      </c>
      <c r="AF487">
        <f t="shared" si="392"/>
        <v>2.2479132136324499E-2</v>
      </c>
      <c r="AG487">
        <f t="shared" si="367"/>
        <v>17567.899436226551</v>
      </c>
      <c r="AH487">
        <f t="shared" si="368"/>
        <v>-2755.5457166703231</v>
      </c>
      <c r="AJ487">
        <f t="shared" si="393"/>
        <v>18000</v>
      </c>
      <c r="AK487">
        <f t="shared" si="394"/>
        <v>917004.50515673996</v>
      </c>
      <c r="AL487">
        <v>1</v>
      </c>
      <c r="AM487">
        <f t="shared" si="395"/>
        <v>560.39164204023007</v>
      </c>
      <c r="AN487">
        <f t="shared" si="369"/>
        <v>1636.4157432518589</v>
      </c>
      <c r="AO487">
        <f t="shared" si="370"/>
        <v>-29.200264652721941</v>
      </c>
      <c r="AQ487">
        <f t="shared" si="396"/>
        <v>1.3417594034859715E-3</v>
      </c>
      <c r="AR487">
        <f t="shared" si="397"/>
        <v>-3.663003171516702</v>
      </c>
      <c r="AT487">
        <f t="shared" si="418"/>
        <v>-10070.000805154605</v>
      </c>
      <c r="AU487">
        <f t="shared" si="419"/>
        <v>-64354.968631161413</v>
      </c>
      <c r="AV487">
        <f t="shared" si="407"/>
        <v>-1.7260135648164283</v>
      </c>
      <c r="AW487">
        <f t="shared" si="408"/>
        <v>40998.659224233474</v>
      </c>
      <c r="AX487">
        <f t="shared" si="409"/>
        <v>-12615.388354222023</v>
      </c>
      <c r="AY487">
        <f t="shared" si="417"/>
        <v>-0.29850820703816489</v>
      </c>
      <c r="BA487">
        <f t="shared" si="398"/>
        <v>1.5185231475049998</v>
      </c>
      <c r="BB487">
        <f t="shared" si="410"/>
        <v>3.6284283288666619</v>
      </c>
      <c r="BC487">
        <f t="shared" si="411"/>
        <v>-1.4275053577782635</v>
      </c>
      <c r="BD487">
        <f t="shared" si="399"/>
        <v>-261.79003232646579</v>
      </c>
      <c r="BF487">
        <f t="shared" si="400"/>
        <v>-45.538827648918208</v>
      </c>
      <c r="BG487">
        <f t="shared" si="401"/>
        <v>-172.42582492193566</v>
      </c>
      <c r="BH487">
        <f t="shared" si="412"/>
        <v>7.5741750780643429</v>
      </c>
      <c r="BI487">
        <f t="shared" si="413"/>
        <v>7.5741750780643429</v>
      </c>
      <c r="BJ487">
        <f t="shared" si="402"/>
        <v>0</v>
      </c>
      <c r="BK487">
        <f t="shared" si="414"/>
        <v>0</v>
      </c>
      <c r="BM487">
        <f t="shared" si="415"/>
        <v>-49.167255977784876</v>
      </c>
      <c r="BN487">
        <f t="shared" si="403"/>
        <v>-90.635792595469823</v>
      </c>
      <c r="BQ487" s="66">
        <f t="shared" si="416"/>
        <v>20.5303891291518</v>
      </c>
    </row>
    <row r="488" spans="1:69" x14ac:dyDescent="0.2">
      <c r="A488">
        <f t="shared" si="420"/>
        <v>1370000</v>
      </c>
      <c r="B488">
        <f t="shared" si="404"/>
        <v>1370</v>
      </c>
      <c r="C488">
        <f t="shared" si="373"/>
        <v>85.224709268978813</v>
      </c>
      <c r="D488">
        <f t="shared" si="374"/>
        <v>1.5590623712723128</v>
      </c>
      <c r="F488">
        <f t="shared" si="375"/>
        <v>2.7126406808962471E-6</v>
      </c>
      <c r="G488">
        <f t="shared" si="376"/>
        <v>6.7777444163601695E-4</v>
      </c>
      <c r="H488">
        <f t="shared" si="377"/>
        <v>-3.140914875558364</v>
      </c>
      <c r="J488">
        <f t="shared" si="378"/>
        <v>15</v>
      </c>
      <c r="M488">
        <f t="shared" si="379"/>
        <v>2.4624081444889162E-3</v>
      </c>
      <c r="N488">
        <f t="shared" si="380"/>
        <v>-1.5707963250000001</v>
      </c>
      <c r="O488">
        <f t="shared" si="381"/>
        <v>405.95280735688902</v>
      </c>
      <c r="P488">
        <f t="shared" si="382"/>
        <v>1.568332983782553</v>
      </c>
      <c r="Q488">
        <f t="shared" si="383"/>
        <v>562.44524765386211</v>
      </c>
      <c r="R488">
        <f t="shared" si="384"/>
        <v>1.569018375019104</v>
      </c>
      <c r="S488">
        <f t="shared" si="385"/>
        <v>1.9553750888973577E-2</v>
      </c>
      <c r="T488">
        <f t="shared" si="386"/>
        <v>-1.5512413296313978</v>
      </c>
      <c r="U488">
        <f t="shared" si="387"/>
        <v>0.98821701594529143</v>
      </c>
      <c r="V488">
        <f t="shared" si="388"/>
        <v>-0.15366324755759561</v>
      </c>
      <c r="X488">
        <f t="shared" si="405"/>
        <v>-28.479053934818111</v>
      </c>
      <c r="Y488">
        <f t="shared" si="389"/>
        <v>-98.560317354068729</v>
      </c>
      <c r="Z488">
        <f t="shared" si="406"/>
        <v>81.439682645931271</v>
      </c>
      <c r="AC488">
        <v>1</v>
      </c>
      <c r="AD488">
        <f t="shared" si="390"/>
        <v>405.95157568476003</v>
      </c>
      <c r="AE488">
        <f t="shared" si="391"/>
        <v>-3.4944164928104211E-3</v>
      </c>
      <c r="AF488">
        <f t="shared" si="392"/>
        <v>2.2561473279681003E-2</v>
      </c>
      <c r="AG488">
        <f t="shared" ref="AG488:AG551" si="421">AC488*AE488/(AE488^2+AF488^2)+AD488*AF488/(AE488^2+AF488^2)</f>
        <v>17564.900790814412</v>
      </c>
      <c r="AH488">
        <f t="shared" ref="AH488:AH551" si="422">AD488*AE488/(AE488^2+AF488^2)-AC488*AF488/(AE488^2+AF488^2)</f>
        <v>-2764.8495399535655</v>
      </c>
      <c r="AJ488">
        <f t="shared" si="393"/>
        <v>18000</v>
      </c>
      <c r="AK488">
        <f t="shared" si="394"/>
        <v>920363.49601811997</v>
      </c>
      <c r="AL488">
        <v>1</v>
      </c>
      <c r="AM488">
        <f t="shared" si="395"/>
        <v>562.44435867774007</v>
      </c>
      <c r="AN488">
        <f t="shared" ref="AN488:AN551" si="423">AJ488*AL488/(AL488^2+AM488^2)+AK488*AM488/(AL488^2+AM488^2)</f>
        <v>1636.4153636048643</v>
      </c>
      <c r="AO488">
        <f t="shared" ref="AO488:AO551" si="424">AK488*AL488/(AL488^2+AM488^2)-AJ488*AM488/(AL488^2+AM488^2)</f>
        <v>-29.093695018765171</v>
      </c>
      <c r="AQ488">
        <f t="shared" si="396"/>
        <v>1.3319834125441669E-3</v>
      </c>
      <c r="AR488">
        <f t="shared" si="397"/>
        <v>-3.6496345503710175</v>
      </c>
      <c r="AT488">
        <f t="shared" si="418"/>
        <v>-10067.294251095596</v>
      </c>
      <c r="AU488">
        <f t="shared" si="419"/>
        <v>-64109.151533720884</v>
      </c>
      <c r="AV488">
        <f t="shared" si="407"/>
        <v>-1.7265579538773903</v>
      </c>
      <c r="AW488">
        <f t="shared" si="408"/>
        <v>40992.687538761827</v>
      </c>
      <c r="AX488">
        <f t="shared" si="409"/>
        <v>-12612.839721135759</v>
      </c>
      <c r="AY488">
        <f t="shared" si="417"/>
        <v>-0.29849235965012094</v>
      </c>
      <c r="BA488">
        <f t="shared" si="398"/>
        <v>1.5130796946983522</v>
      </c>
      <c r="BB488">
        <f t="shared" si="410"/>
        <v>3.5972360628593245</v>
      </c>
      <c r="BC488">
        <f t="shared" si="411"/>
        <v>-1.4280655942272693</v>
      </c>
      <c r="BD488">
        <f t="shared" si="399"/>
        <v>-261.82213151055993</v>
      </c>
      <c r="BF488">
        <f t="shared" si="400"/>
        <v>-45.601782778759997</v>
      </c>
      <c r="BG488">
        <f t="shared" si="401"/>
        <v>-172.45560392191445</v>
      </c>
      <c r="BH488">
        <f t="shared" si="412"/>
        <v>7.5443960780855548</v>
      </c>
      <c r="BI488">
        <f t="shared" si="413"/>
        <v>7.5443960780855548</v>
      </c>
      <c r="BJ488">
        <f t="shared" si="402"/>
        <v>0</v>
      </c>
      <c r="BK488">
        <f t="shared" si="414"/>
        <v>0</v>
      </c>
      <c r="BM488">
        <f t="shared" si="415"/>
        <v>-49.199018841619321</v>
      </c>
      <c r="BN488">
        <f t="shared" si="403"/>
        <v>-90.633472411354546</v>
      </c>
      <c r="BQ488" s="66">
        <f t="shared" si="416"/>
        <v>20.499196863144462</v>
      </c>
    </row>
    <row r="489" spans="1:69" x14ac:dyDescent="0.2">
      <c r="A489">
        <f t="shared" si="420"/>
        <v>1375000</v>
      </c>
      <c r="B489">
        <f t="shared" si="404"/>
        <v>1375</v>
      </c>
      <c r="C489">
        <f t="shared" si="373"/>
        <v>85.535705608080164</v>
      </c>
      <c r="D489">
        <f t="shared" si="374"/>
        <v>1.559105036306327</v>
      </c>
      <c r="F489">
        <f t="shared" si="375"/>
        <v>2.6929482056742229E-6</v>
      </c>
      <c r="G489">
        <f t="shared" si="376"/>
        <v>6.7530979464229242E-4</v>
      </c>
      <c r="H489">
        <f t="shared" si="377"/>
        <v>-3.1409173402053581</v>
      </c>
      <c r="J489">
        <f t="shared" si="378"/>
        <v>15</v>
      </c>
      <c r="M489">
        <f t="shared" si="379"/>
        <v>2.453453933054411E-3</v>
      </c>
      <c r="N489">
        <f t="shared" si="380"/>
        <v>-1.5707963250000001</v>
      </c>
      <c r="O489">
        <f t="shared" si="381"/>
        <v>407.43437797183481</v>
      </c>
      <c r="P489">
        <f t="shared" si="382"/>
        <v>1.5683419413574675</v>
      </c>
      <c r="Q489">
        <f t="shared" si="383"/>
        <v>564.49796105873679</v>
      </c>
      <c r="R489">
        <f t="shared" si="384"/>
        <v>1.569024840284738</v>
      </c>
      <c r="S489">
        <f t="shared" si="385"/>
        <v>1.9482673378996434E-2</v>
      </c>
      <c r="T489">
        <f t="shared" si="386"/>
        <v>-1.5513124206841251</v>
      </c>
      <c r="U489">
        <f t="shared" si="387"/>
        <v>0.98813237961372002</v>
      </c>
      <c r="V489">
        <f t="shared" si="388"/>
        <v>-0.15421522855653588</v>
      </c>
      <c r="X489">
        <f t="shared" si="405"/>
        <v>-28.511433229270825</v>
      </c>
      <c r="Y489">
        <f t="shared" si="389"/>
        <v>-98.592829776816416</v>
      </c>
      <c r="Z489">
        <f t="shared" si="406"/>
        <v>81.407170223183584</v>
      </c>
      <c r="AC489">
        <v>1</v>
      </c>
      <c r="AD489">
        <f t="shared" si="390"/>
        <v>407.43315077850002</v>
      </c>
      <c r="AE489">
        <f t="shared" si="391"/>
        <v>-3.5199697275932144E-3</v>
      </c>
      <c r="AF489">
        <f t="shared" si="392"/>
        <v>2.2643814423037499E-2</v>
      </c>
      <c r="AG489">
        <f t="shared" si="421"/>
        <v>17561.892210549468</v>
      </c>
      <c r="AH489">
        <f t="shared" si="422"/>
        <v>-2774.149609549871</v>
      </c>
      <c r="AJ489">
        <f t="shared" si="393"/>
        <v>18000</v>
      </c>
      <c r="AK489">
        <f t="shared" si="394"/>
        <v>923722.48687949986</v>
      </c>
      <c r="AL489">
        <v>1</v>
      </c>
      <c r="AM489">
        <f t="shared" si="395"/>
        <v>564.49707531524996</v>
      </c>
      <c r="AN489">
        <f t="shared" si="423"/>
        <v>1636.4149880919213</v>
      </c>
      <c r="AO489">
        <f t="shared" si="424"/>
        <v>-28.987900429368292</v>
      </c>
      <c r="AQ489">
        <f t="shared" si="396"/>
        <v>1.3223138747353554E-3</v>
      </c>
      <c r="AR489">
        <f t="shared" si="397"/>
        <v>-3.6363631555222273</v>
      </c>
      <c r="AT489">
        <f t="shared" si="418"/>
        <v>-10064.593094336908</v>
      </c>
      <c r="AU489">
        <f t="shared" si="419"/>
        <v>-63865.086072214181</v>
      </c>
      <c r="AV489">
        <f t="shared" si="407"/>
        <v>-1.7271023044412532</v>
      </c>
      <c r="AW489">
        <f t="shared" si="408"/>
        <v>40986.685204484136</v>
      </c>
      <c r="AX489">
        <f t="shared" si="409"/>
        <v>-12610.453220181076</v>
      </c>
      <c r="AY489">
        <f t="shared" si="417"/>
        <v>-0.29848033131635637</v>
      </c>
      <c r="BA489">
        <f t="shared" si="398"/>
        <v>1.5076747764312171</v>
      </c>
      <c r="BB489">
        <f t="shared" si="410"/>
        <v>3.5661533819470295</v>
      </c>
      <c r="BC489">
        <f t="shared" si="411"/>
        <v>-1.4286219731248968</v>
      </c>
      <c r="BD489">
        <f t="shared" si="399"/>
        <v>-261.85400967324057</v>
      </c>
      <c r="BF489">
        <f t="shared" si="400"/>
        <v>-45.66451257858904</v>
      </c>
      <c r="BG489">
        <f t="shared" si="401"/>
        <v>-172.48517877208141</v>
      </c>
      <c r="BH489">
        <f t="shared" si="412"/>
        <v>7.5148212279185884</v>
      </c>
      <c r="BI489">
        <f t="shared" si="413"/>
        <v>7.5148212279185884</v>
      </c>
      <c r="BJ489">
        <f t="shared" si="402"/>
        <v>0</v>
      </c>
      <c r="BK489">
        <f t="shared" si="414"/>
        <v>0</v>
      </c>
      <c r="BM489">
        <f t="shared" si="415"/>
        <v>-49.230665960536072</v>
      </c>
      <c r="BN489">
        <f t="shared" si="403"/>
        <v>-90.631169098840857</v>
      </c>
      <c r="BQ489" s="66">
        <f t="shared" si="416"/>
        <v>20.468114182232164</v>
      </c>
    </row>
    <row r="490" spans="1:69" x14ac:dyDescent="0.2">
      <c r="A490">
        <f t="shared" si="420"/>
        <v>1380000</v>
      </c>
      <c r="B490">
        <f t="shared" si="404"/>
        <v>1380</v>
      </c>
      <c r="C490">
        <f t="shared" si="373"/>
        <v>85.846702101754488</v>
      </c>
      <c r="D490">
        <f t="shared" si="374"/>
        <v>1.5591473922155321</v>
      </c>
      <c r="F490">
        <f t="shared" si="375"/>
        <v>2.6734693917960622E-6</v>
      </c>
      <c r="G490">
        <f t="shared" si="376"/>
        <v>6.7286300754625984E-4</v>
      </c>
      <c r="H490">
        <f t="shared" si="377"/>
        <v>-3.1409197869924541</v>
      </c>
      <c r="J490">
        <f t="shared" si="378"/>
        <v>15</v>
      </c>
      <c r="M490">
        <f t="shared" si="379"/>
        <v>2.4445646072100112E-3</v>
      </c>
      <c r="N490">
        <f t="shared" si="380"/>
        <v>-1.5707963250000001</v>
      </c>
      <c r="O490">
        <f t="shared" si="381"/>
        <v>408.91594861923551</v>
      </c>
      <c r="P490">
        <f t="shared" si="382"/>
        <v>1.5683508340228087</v>
      </c>
      <c r="Q490">
        <f t="shared" si="383"/>
        <v>566.5506744870363</v>
      </c>
      <c r="R490">
        <f t="shared" si="384"/>
        <v>1.5690312587007675</v>
      </c>
      <c r="S490">
        <f t="shared" si="385"/>
        <v>1.9412110631246413E-2</v>
      </c>
      <c r="T490">
        <f t="shared" si="386"/>
        <v>-1.5513829967791286</v>
      </c>
      <c r="U490">
        <f t="shared" si="387"/>
        <v>0.98804745681445205</v>
      </c>
      <c r="V490">
        <f t="shared" si="388"/>
        <v>-0.15476711484608904</v>
      </c>
      <c r="X490">
        <f t="shared" si="405"/>
        <v>-28.54370032906958</v>
      </c>
      <c r="Y490">
        <f t="shared" si="389"/>
        <v>-98.625330359791036</v>
      </c>
      <c r="Z490">
        <f t="shared" si="406"/>
        <v>81.374669640208964</v>
      </c>
      <c r="AC490">
        <v>1</v>
      </c>
      <c r="AD490">
        <f t="shared" si="390"/>
        <v>408.91472587224001</v>
      </c>
      <c r="AE490">
        <f t="shared" si="391"/>
        <v>-3.5456160524845034E-3</v>
      </c>
      <c r="AF490">
        <f t="shared" si="392"/>
        <v>2.2726155566394002E-2</v>
      </c>
      <c r="AG490">
        <f t="shared" si="421"/>
        <v>17558.873706166822</v>
      </c>
      <c r="AH490">
        <f t="shared" si="422"/>
        <v>-2783.4458974519043</v>
      </c>
      <c r="AJ490">
        <f t="shared" si="393"/>
        <v>18000</v>
      </c>
      <c r="AK490">
        <f t="shared" si="394"/>
        <v>927081.47774087987</v>
      </c>
      <c r="AL490">
        <v>1</v>
      </c>
      <c r="AM490">
        <f t="shared" si="395"/>
        <v>566.54979195275996</v>
      </c>
      <c r="AN490">
        <f t="shared" si="423"/>
        <v>1636.414616653225</v>
      </c>
      <c r="AO490">
        <f t="shared" si="424"/>
        <v>-28.882872460239476</v>
      </c>
      <c r="AQ490">
        <f t="shared" si="396"/>
        <v>1.3127492500591721E-3</v>
      </c>
      <c r="AR490">
        <f t="shared" si="397"/>
        <v>-3.6231879301633154</v>
      </c>
      <c r="AT490">
        <f t="shared" si="418"/>
        <v>-10061.897181620683</v>
      </c>
      <c r="AU490">
        <f t="shared" si="419"/>
        <v>-63622.753245960092</v>
      </c>
      <c r="AV490">
        <f t="shared" si="407"/>
        <v>-1.7276466155883483</v>
      </c>
      <c r="AW490">
        <f t="shared" si="408"/>
        <v>40980.652366016417</v>
      </c>
      <c r="AX490">
        <f t="shared" si="409"/>
        <v>-12608.226934209781</v>
      </c>
      <c r="AY490">
        <f t="shared" si="417"/>
        <v>-0.2984720800445429</v>
      </c>
      <c r="BA490">
        <f t="shared" si="398"/>
        <v>1.5023079887112352</v>
      </c>
      <c r="BB490">
        <f t="shared" si="410"/>
        <v>3.5351795333360054</v>
      </c>
      <c r="BC490">
        <f t="shared" si="411"/>
        <v>-1.4291745355438055</v>
      </c>
      <c r="BD490">
        <f t="shared" si="399"/>
        <v>-261.88566916779774</v>
      </c>
      <c r="BF490">
        <f t="shared" si="400"/>
        <v>-45.727018641812201</v>
      </c>
      <c r="BG490">
        <f t="shared" si="401"/>
        <v>-172.51455164237507</v>
      </c>
      <c r="BH490">
        <f t="shared" si="412"/>
        <v>7.4854483576249322</v>
      </c>
      <c r="BI490">
        <f t="shared" si="413"/>
        <v>7.4854483576249322</v>
      </c>
      <c r="BJ490">
        <f t="shared" si="402"/>
        <v>0</v>
      </c>
      <c r="BK490">
        <f t="shared" si="414"/>
        <v>0</v>
      </c>
      <c r="BM490">
        <f t="shared" si="415"/>
        <v>-49.262198175148207</v>
      </c>
      <c r="BN490">
        <f t="shared" si="403"/>
        <v>-90.628882474577338</v>
      </c>
      <c r="BQ490" s="66">
        <f t="shared" si="416"/>
        <v>20.437140333621141</v>
      </c>
    </row>
    <row r="491" spans="1:69" x14ac:dyDescent="0.2">
      <c r="A491">
        <f t="shared" si="420"/>
        <v>1385000</v>
      </c>
      <c r="B491">
        <f t="shared" si="404"/>
        <v>1385</v>
      </c>
      <c r="C491">
        <f t="shared" si="373"/>
        <v>86.157698748327917</v>
      </c>
      <c r="D491">
        <f t="shared" si="374"/>
        <v>1.5591894423472459</v>
      </c>
      <c r="F491">
        <f t="shared" si="375"/>
        <v>2.6542011594627638E-6</v>
      </c>
      <c r="G491">
        <f t="shared" si="376"/>
        <v>6.7043388691745789E-4</v>
      </c>
      <c r="H491">
        <f t="shared" si="377"/>
        <v>-3.1409222161130828</v>
      </c>
      <c r="J491">
        <f t="shared" si="378"/>
        <v>15</v>
      </c>
      <c r="M491">
        <f t="shared" si="379"/>
        <v>2.4357394642236935E-3</v>
      </c>
      <c r="N491">
        <f t="shared" si="380"/>
        <v>-1.5707963250000001</v>
      </c>
      <c r="O491">
        <f t="shared" si="381"/>
        <v>410.39751929873955</v>
      </c>
      <c r="P491">
        <f t="shared" si="382"/>
        <v>1.5683596624815623</v>
      </c>
      <c r="Q491">
        <f t="shared" si="383"/>
        <v>568.6033879385069</v>
      </c>
      <c r="R491">
        <f t="shared" si="384"/>
        <v>1.5690376307745868</v>
      </c>
      <c r="S491">
        <f t="shared" si="385"/>
        <v>1.9342057074875935E-2</v>
      </c>
      <c r="T491">
        <f t="shared" si="386"/>
        <v>-1.5514530634907708</v>
      </c>
      <c r="U491">
        <f t="shared" si="387"/>
        <v>0.98796224777651453</v>
      </c>
      <c r="V491">
        <f t="shared" si="388"/>
        <v>-0.15531890611452981</v>
      </c>
      <c r="X491">
        <f t="shared" si="405"/>
        <v>-28.575856062509818</v>
      </c>
      <c r="Y491">
        <f t="shared" si="389"/>
        <v>-98.657819154465443</v>
      </c>
      <c r="Z491">
        <f t="shared" si="406"/>
        <v>81.342180845534557</v>
      </c>
      <c r="AC491">
        <v>1</v>
      </c>
      <c r="AD491">
        <f t="shared" si="390"/>
        <v>410.39630096598006</v>
      </c>
      <c r="AE491">
        <f t="shared" si="391"/>
        <v>-3.5713554674842926E-3</v>
      </c>
      <c r="AF491">
        <f t="shared" si="392"/>
        <v>2.2808496709750502E-2</v>
      </c>
      <c r="AG491">
        <f t="shared" si="421"/>
        <v>17555.845288431363</v>
      </c>
      <c r="AH491">
        <f t="shared" si="422"/>
        <v>-2792.7383758666174</v>
      </c>
      <c r="AJ491">
        <f t="shared" si="393"/>
        <v>18000</v>
      </c>
      <c r="AK491">
        <f t="shared" si="394"/>
        <v>930440.46860225999</v>
      </c>
      <c r="AL491">
        <v>1</v>
      </c>
      <c r="AM491">
        <f t="shared" si="395"/>
        <v>568.60250859026996</v>
      </c>
      <c r="AN491">
        <f t="shared" si="423"/>
        <v>1636.4142492300484</v>
      </c>
      <c r="AO491">
        <f t="shared" si="424"/>
        <v>-28.778602808735425</v>
      </c>
      <c r="AQ491">
        <f t="shared" si="396"/>
        <v>1.3032880262628178E-3</v>
      </c>
      <c r="AR491">
        <f t="shared" si="397"/>
        <v>-3.610107832748005</v>
      </c>
      <c r="AT491">
        <f t="shared" si="418"/>
        <v>-10059.206362576682</v>
      </c>
      <c r="AU491">
        <f t="shared" si="419"/>
        <v>-63382.134328763968</v>
      </c>
      <c r="AV491">
        <f t="shared" si="407"/>
        <v>-1.728190886408119</v>
      </c>
      <c r="AW491">
        <f t="shared" si="408"/>
        <v>40974.589165870479</v>
      </c>
      <c r="AX491">
        <f t="shared" si="409"/>
        <v>-12606.158973335621</v>
      </c>
      <c r="AY491">
        <f t="shared" si="417"/>
        <v>-0.2984675644294979</v>
      </c>
      <c r="BA491">
        <f t="shared" si="398"/>
        <v>1.4969789331198706</v>
      </c>
      <c r="BB491">
        <f t="shared" si="410"/>
        <v>3.5043137718020083</v>
      </c>
      <c r="BC491">
        <f t="shared" si="411"/>
        <v>-1.4297233219786212</v>
      </c>
      <c r="BD491">
        <f t="shared" si="399"/>
        <v>-261.91711231440263</v>
      </c>
      <c r="BF491">
        <f t="shared" si="400"/>
        <v>-45.789302545141069</v>
      </c>
      <c r="BG491">
        <f t="shared" si="401"/>
        <v>-172.54372467226213</v>
      </c>
      <c r="BH491">
        <f t="shared" si="412"/>
        <v>7.4562753277378704</v>
      </c>
      <c r="BI491">
        <f t="shared" si="413"/>
        <v>7.4562753277378704</v>
      </c>
      <c r="BJ491">
        <f t="shared" si="402"/>
        <v>0</v>
      </c>
      <c r="BK491">
        <f t="shared" si="414"/>
        <v>0</v>
      </c>
      <c r="BM491">
        <f t="shared" si="415"/>
        <v>-49.293616316943073</v>
      </c>
      <c r="BN491">
        <f t="shared" si="403"/>
        <v>-90.626612357859514</v>
      </c>
      <c r="BQ491" s="66">
        <f t="shared" si="416"/>
        <v>20.406274572087145</v>
      </c>
    </row>
    <row r="492" spans="1:69" x14ac:dyDescent="0.2">
      <c r="A492">
        <f t="shared" si="420"/>
        <v>1390000</v>
      </c>
      <c r="B492">
        <f t="shared" si="404"/>
        <v>1390</v>
      </c>
      <c r="C492">
        <f t="shared" si="373"/>
        <v>86.468695546150713</v>
      </c>
      <c r="D492">
        <f t="shared" si="374"/>
        <v>1.5592311900006337</v>
      </c>
      <c r="F492">
        <f t="shared" si="375"/>
        <v>2.6351404841678589E-6</v>
      </c>
      <c r="G492">
        <f t="shared" si="376"/>
        <v>6.6802224210863348E-4</v>
      </c>
      <c r="H492">
        <f t="shared" si="377"/>
        <v>-3.1409246277578915</v>
      </c>
      <c r="J492">
        <f t="shared" si="378"/>
        <v>15</v>
      </c>
      <c r="M492">
        <f t="shared" si="379"/>
        <v>2.4269778114746872E-3</v>
      </c>
      <c r="N492">
        <f t="shared" si="380"/>
        <v>-1.5707963250000001</v>
      </c>
      <c r="O492">
        <f t="shared" si="381"/>
        <v>411.87909001000054</v>
      </c>
      <c r="P492">
        <f t="shared" si="382"/>
        <v>1.5683684274265999</v>
      </c>
      <c r="Q492">
        <f t="shared" si="383"/>
        <v>570.65610141289858</v>
      </c>
      <c r="R492">
        <f t="shared" si="384"/>
        <v>1.5690439570062897</v>
      </c>
      <c r="S492">
        <f t="shared" si="385"/>
        <v>1.9272507219118513E-2</v>
      </c>
      <c r="T492">
        <f t="shared" si="386"/>
        <v>-1.5515226263132573</v>
      </c>
      <c r="U492">
        <f t="shared" si="387"/>
        <v>0.98787675272959974</v>
      </c>
      <c r="V492">
        <f t="shared" si="388"/>
        <v>-0.15587060205047168</v>
      </c>
      <c r="X492">
        <f t="shared" si="405"/>
        <v>-28.607901248921724</v>
      </c>
      <c r="Y492">
        <f t="shared" si="389"/>
        <v>-98.690296211336459</v>
      </c>
      <c r="Z492">
        <f t="shared" si="406"/>
        <v>81.309703788663541</v>
      </c>
      <c r="AC492">
        <v>1</v>
      </c>
      <c r="AD492">
        <f t="shared" si="390"/>
        <v>411.87787605972005</v>
      </c>
      <c r="AE492">
        <f t="shared" si="391"/>
        <v>-3.5971879725925802E-3</v>
      </c>
      <c r="AF492">
        <f t="shared" si="392"/>
        <v>2.2890837853106999E-2</v>
      </c>
      <c r="AG492">
        <f t="shared" si="421"/>
        <v>17552.806968137651</v>
      </c>
      <c r="AH492">
        <f t="shared" si="422"/>
        <v>-2802.027017211959</v>
      </c>
      <c r="AJ492">
        <f t="shared" si="393"/>
        <v>18000</v>
      </c>
      <c r="AK492">
        <f t="shared" si="394"/>
        <v>933799.45946364</v>
      </c>
      <c r="AL492">
        <v>1</v>
      </c>
      <c r="AM492">
        <f t="shared" si="395"/>
        <v>570.65522522777997</v>
      </c>
      <c r="AN492">
        <f t="shared" si="423"/>
        <v>1636.4138857647179</v>
      </c>
      <c r="AO492">
        <f t="shared" si="424"/>
        <v>-28.675083291673481</v>
      </c>
      <c r="AQ492">
        <f t="shared" si="396"/>
        <v>1.2939287182432693E-3</v>
      </c>
      <c r="AR492">
        <f t="shared" si="397"/>
        <v>-3.5971218367162883</v>
      </c>
      <c r="AT492">
        <f t="shared" si="418"/>
        <v>-10056.520489660292</v>
      </c>
      <c r="AU492">
        <f t="shared" si="419"/>
        <v>-63143.210863980632</v>
      </c>
      <c r="AV492">
        <f t="shared" si="407"/>
        <v>-1.7287351159989639</v>
      </c>
      <c r="AW492">
        <f t="shared" si="408"/>
        <v>40968.495744500455</v>
      </c>
      <c r="AX492">
        <f t="shared" si="409"/>
        <v>-12604.247474445139</v>
      </c>
      <c r="AY492">
        <f t="shared" si="417"/>
        <v>-0.29846674364294634</v>
      </c>
      <c r="BA492">
        <f t="shared" si="398"/>
        <v>1.4916872167175794</v>
      </c>
      <c r="BB492">
        <f t="shared" si="410"/>
        <v>3.4735553595915802</v>
      </c>
      <c r="BC492">
        <f t="shared" si="411"/>
        <v>-1.4302683723560174</v>
      </c>
      <c r="BD492">
        <f t="shared" si="399"/>
        <v>-261.94834140068514</v>
      </c>
      <c r="BF492">
        <f t="shared" si="400"/>
        <v>-45.851365848822326</v>
      </c>
      <c r="BG492">
        <f t="shared" si="401"/>
        <v>-172.57269997126761</v>
      </c>
      <c r="BH492">
        <f t="shared" si="412"/>
        <v>7.4273000287323896</v>
      </c>
      <c r="BI492">
        <f t="shared" si="413"/>
        <v>7.4273000287323896</v>
      </c>
      <c r="BJ492">
        <f t="shared" si="402"/>
        <v>0</v>
      </c>
      <c r="BK492">
        <f t="shared" si="414"/>
        <v>0</v>
      </c>
      <c r="BM492">
        <f t="shared" si="415"/>
        <v>-49.324921208413912</v>
      </c>
      <c r="BN492">
        <f t="shared" si="403"/>
        <v>-90.624358570582473</v>
      </c>
      <c r="BQ492" s="66">
        <f t="shared" si="416"/>
        <v>20.375516159876717</v>
      </c>
    </row>
    <row r="493" spans="1:69" x14ac:dyDescent="0.2">
      <c r="A493">
        <f t="shared" si="420"/>
        <v>1395000</v>
      </c>
      <c r="B493">
        <f t="shared" si="404"/>
        <v>1395</v>
      </c>
      <c r="C493">
        <f t="shared" si="373"/>
        <v>86.779692493596727</v>
      </c>
      <c r="D493">
        <f t="shared" si="374"/>
        <v>1.5592726384275717</v>
      </c>
      <c r="F493">
        <f t="shared" si="375"/>
        <v>2.6162843955104535E-6</v>
      </c>
      <c r="G493">
        <f t="shared" si="376"/>
        <v>6.6562788520586175E-4</v>
      </c>
      <c r="H493">
        <f t="shared" si="377"/>
        <v>-3.1409270221147945</v>
      </c>
      <c r="J493">
        <f t="shared" si="378"/>
        <v>15</v>
      </c>
      <c r="M493">
        <f t="shared" si="379"/>
        <v>2.4182789662722691E-3</v>
      </c>
      <c r="N493">
        <f t="shared" si="380"/>
        <v>-1.5707963250000001</v>
      </c>
      <c r="O493">
        <f t="shared" si="381"/>
        <v>413.36066075267701</v>
      </c>
      <c r="P493">
        <f t="shared" si="382"/>
        <v>1.5683771295408593</v>
      </c>
      <c r="Q493">
        <f t="shared" si="383"/>
        <v>572.70881490996499</v>
      </c>
      <c r="R493">
        <f t="shared" si="384"/>
        <v>1.5690502378888003</v>
      </c>
      <c r="S493">
        <f t="shared" si="385"/>
        <v>1.9203455651855196E-2</v>
      </c>
      <c r="T493">
        <f t="shared" si="386"/>
        <v>-1.5515916906620724</v>
      </c>
      <c r="U493">
        <f t="shared" si="387"/>
        <v>0.98779097190406351</v>
      </c>
      <c r="V493">
        <f t="shared" si="388"/>
        <v>-0.15642220234286791</v>
      </c>
      <c r="X493">
        <f t="shared" si="405"/>
        <v>-28.63983669879881</v>
      </c>
      <c r="Y493">
        <f t="shared" si="389"/>
        <v>-98.722761579942755</v>
      </c>
      <c r="Z493">
        <f t="shared" si="406"/>
        <v>81.277238420057245</v>
      </c>
      <c r="AC493">
        <v>1</v>
      </c>
      <c r="AD493">
        <f t="shared" si="390"/>
        <v>413.35945115346004</v>
      </c>
      <c r="AE493">
        <f t="shared" si="391"/>
        <v>-3.6231135678093658E-3</v>
      </c>
      <c r="AF493">
        <f t="shared" si="392"/>
        <v>2.2973178996463502E-2</v>
      </c>
      <c r="AG493">
        <f t="shared" si="421"/>
        <v>17549.758756109848</v>
      </c>
      <c r="AH493">
        <f t="shared" si="422"/>
        <v>-2811.3117941136929</v>
      </c>
      <c r="AJ493">
        <f t="shared" si="393"/>
        <v>18000</v>
      </c>
      <c r="AK493">
        <f t="shared" si="394"/>
        <v>937158.45032502001</v>
      </c>
      <c r="AL493">
        <v>1</v>
      </c>
      <c r="AM493">
        <f t="shared" si="395"/>
        <v>572.70794186528997</v>
      </c>
      <c r="AN493">
        <f t="shared" si="423"/>
        <v>1636.4135262005927</v>
      </c>
      <c r="AO493">
        <f t="shared" si="424"/>
        <v>-28.572305843190811</v>
      </c>
      <c r="AQ493">
        <f t="shared" si="396"/>
        <v>1.2846698674644638E-3</v>
      </c>
      <c r="AR493">
        <f t="shared" si="397"/>
        <v>-3.5842289302258541</v>
      </c>
      <c r="AT493">
        <f t="shared" si="418"/>
        <v>-10053.839418092204</v>
      </c>
      <c r="AU493">
        <f t="shared" si="419"/>
        <v>-62905.964659683363</v>
      </c>
      <c r="AV493">
        <f t="shared" si="407"/>
        <v>-1.729279303468082</v>
      </c>
      <c r="AW493">
        <f t="shared" si="408"/>
        <v>40962.372240348232</v>
      </c>
      <c r="AX493">
        <f t="shared" si="409"/>
        <v>-12602.490600719117</v>
      </c>
      <c r="AY493">
        <f t="shared" si="417"/>
        <v>-0.29846957742349606</v>
      </c>
      <c r="BA493">
        <f t="shared" si="398"/>
        <v>1.4864324519508849</v>
      </c>
      <c r="BB493">
        <f t="shared" si="410"/>
        <v>3.4429035663248557</v>
      </c>
      <c r="BC493">
        <f t="shared" si="411"/>
        <v>-1.430809726044586</v>
      </c>
      <c r="BD493">
        <f t="shared" si="399"/>
        <v>-261.97935868229939</v>
      </c>
      <c r="BF493">
        <f t="shared" si="400"/>
        <v>-45.913210096864219</v>
      </c>
      <c r="BG493">
        <f t="shared" si="401"/>
        <v>-172.60147961949349</v>
      </c>
      <c r="BH493">
        <f t="shared" si="412"/>
        <v>7.3985203805065112</v>
      </c>
      <c r="BI493">
        <f t="shared" si="413"/>
        <v>7.3985203805065112</v>
      </c>
      <c r="BJ493">
        <f t="shared" si="402"/>
        <v>0</v>
      </c>
      <c r="BK493">
        <f t="shared" si="414"/>
        <v>0</v>
      </c>
      <c r="BM493">
        <f t="shared" si="415"/>
        <v>-49.356113663189078</v>
      </c>
      <c r="BN493">
        <f t="shared" si="403"/>
        <v>-90.622120937194097</v>
      </c>
      <c r="BQ493" s="66">
        <f t="shared" si="416"/>
        <v>20.34486436660999</v>
      </c>
    </row>
    <row r="494" spans="1:69" x14ac:dyDescent="0.2">
      <c r="A494">
        <f t="shared" si="420"/>
        <v>1400000</v>
      </c>
      <c r="B494">
        <f t="shared" si="404"/>
        <v>1400</v>
      </c>
      <c r="C494">
        <f t="shared" si="373"/>
        <v>87.090689589063075</v>
      </c>
      <c r="D494">
        <f t="shared" si="374"/>
        <v>1.5593137908334909</v>
      </c>
      <c r="F494">
        <f t="shared" si="375"/>
        <v>2.5976299760378923E-6</v>
      </c>
      <c r="G494">
        <f t="shared" si="376"/>
        <v>6.6325063097973558E-4</v>
      </c>
      <c r="H494">
        <f t="shared" si="377"/>
        <v>-3.1409293993690204</v>
      </c>
      <c r="J494">
        <f t="shared" si="378"/>
        <v>15</v>
      </c>
      <c r="M494">
        <f t="shared" si="379"/>
        <v>2.4096422556784394E-3</v>
      </c>
      <c r="N494">
        <f t="shared" si="380"/>
        <v>-1.5707963250000001</v>
      </c>
      <c r="O494">
        <f t="shared" si="381"/>
        <v>414.84223152643239</v>
      </c>
      <c r="P494">
        <f t="shared" si="382"/>
        <v>1.5683857694975223</v>
      </c>
      <c r="Q494">
        <f t="shared" si="383"/>
        <v>574.76152842946294</v>
      </c>
      <c r="R494">
        <f t="shared" si="384"/>
        <v>1.5690564739080004</v>
      </c>
      <c r="S494">
        <f t="shared" si="385"/>
        <v>1.913489703821172E-2</v>
      </c>
      <c r="T494">
        <f t="shared" si="386"/>
        <v>-1.5516602618753841</v>
      </c>
      <c r="U494">
        <f t="shared" si="387"/>
        <v>0.98770490553092416</v>
      </c>
      <c r="V494">
        <f t="shared" si="388"/>
        <v>-0.15697370668101238</v>
      </c>
      <c r="X494">
        <f t="shared" si="405"/>
        <v>-28.671663213924194</v>
      </c>
      <c r="Y494">
        <f t="shared" si="389"/>
        <v>-98.755215308882441</v>
      </c>
      <c r="Z494">
        <f t="shared" si="406"/>
        <v>81.244784691117559</v>
      </c>
      <c r="AC494">
        <v>1</v>
      </c>
      <c r="AD494">
        <f t="shared" si="390"/>
        <v>414.84102624720003</v>
      </c>
      <c r="AE494">
        <f t="shared" si="391"/>
        <v>-3.6491322531346493E-3</v>
      </c>
      <c r="AF494">
        <f t="shared" si="392"/>
        <v>2.3055520139819999E-2</v>
      </c>
      <c r="AG494">
        <f t="shared" si="421"/>
        <v>17546.700663201609</v>
      </c>
      <c r="AH494">
        <f t="shared" si="422"/>
        <v>-2820.5926794022807</v>
      </c>
      <c r="AJ494">
        <f t="shared" si="393"/>
        <v>18000</v>
      </c>
      <c r="AK494">
        <f t="shared" si="394"/>
        <v>940517.4411863999</v>
      </c>
      <c r="AL494">
        <v>1</v>
      </c>
      <c r="AM494">
        <f t="shared" si="395"/>
        <v>574.76065850280008</v>
      </c>
      <c r="AN494">
        <f t="shared" si="423"/>
        <v>1636.4131704820406</v>
      </c>
      <c r="AO494">
        <f t="shared" si="424"/>
        <v>-28.470262512649409</v>
      </c>
      <c r="AQ494">
        <f t="shared" si="396"/>
        <v>1.2755100413890253E-3</v>
      </c>
      <c r="AR494">
        <f t="shared" si="397"/>
        <v>-3.5714281158892711</v>
      </c>
      <c r="AT494">
        <f t="shared" si="418"/>
        <v>-10051.163005799597</v>
      </c>
      <c r="AU494">
        <f t="shared" si="419"/>
        <v>-62670.37778393639</v>
      </c>
      <c r="AV494">
        <f t="shared" si="407"/>
        <v>-1.729823447931325</v>
      </c>
      <c r="AW494">
        <f t="shared" si="408"/>
        <v>40956.218789887644</v>
      </c>
      <c r="AX494">
        <f t="shared" si="409"/>
        <v>-12600.886541164267</v>
      </c>
      <c r="AY494">
        <f t="shared" si="417"/>
        <v>-0.29847602606682094</v>
      </c>
      <c r="BA494">
        <f t="shared" si="398"/>
        <v>1.4812142565613191</v>
      </c>
      <c r="BB494">
        <f t="shared" si="410"/>
        <v>3.4123576688999115</v>
      </c>
      <c r="BC494">
        <f t="shared" si="411"/>
        <v>-1.4313474218645041</v>
      </c>
      <c r="BD494">
        <f t="shared" si="399"/>
        <v>-262.01016638347772</v>
      </c>
      <c r="BF494">
        <f t="shared" si="400"/>
        <v>-45.974836817259174</v>
      </c>
      <c r="BG494">
        <f t="shared" si="401"/>
        <v>-172.63006566812729</v>
      </c>
      <c r="BH494">
        <f t="shared" si="412"/>
        <v>7.3699343318727131</v>
      </c>
      <c r="BI494">
        <f t="shared" si="413"/>
        <v>7.3699343318727131</v>
      </c>
      <c r="BJ494">
        <f t="shared" si="402"/>
        <v>0</v>
      </c>
      <c r="BK494">
        <f t="shared" si="414"/>
        <v>0</v>
      </c>
      <c r="BM494">
        <f t="shared" si="415"/>
        <v>-49.387194486159075</v>
      </c>
      <c r="BN494">
        <f t="shared" si="403"/>
        <v>-90.619899284649549</v>
      </c>
      <c r="BQ494" s="66">
        <f t="shared" si="416"/>
        <v>20.314318469185046</v>
      </c>
    </row>
    <row r="495" spans="1:69" x14ac:dyDescent="0.2">
      <c r="A495">
        <f t="shared" si="420"/>
        <v>1405000</v>
      </c>
      <c r="B495">
        <f t="shared" si="404"/>
        <v>1405</v>
      </c>
      <c r="C495">
        <f t="shared" si="373"/>
        <v>87.401686830969695</v>
      </c>
      <c r="D495">
        <f t="shared" si="374"/>
        <v>1.5593546503782034</v>
      </c>
      <c r="F495">
        <f t="shared" si="375"/>
        <v>2.5791743601172005E-6</v>
      </c>
      <c r="G495">
        <f t="shared" si="376"/>
        <v>6.6089029683759793E-4</v>
      </c>
      <c r="H495">
        <f t="shared" si="377"/>
        <v>-3.1409317597031627</v>
      </c>
      <c r="J495">
        <f t="shared" si="378"/>
        <v>15</v>
      </c>
      <c r="M495">
        <f t="shared" si="379"/>
        <v>2.4010670163343881E-3</v>
      </c>
      <c r="N495">
        <f t="shared" si="380"/>
        <v>-1.5707963250000001</v>
      </c>
      <c r="O495">
        <f t="shared" si="381"/>
        <v>416.32380233093477</v>
      </c>
      <c r="P495">
        <f t="shared" si="382"/>
        <v>1.5683943479601878</v>
      </c>
      <c r="Q495">
        <f t="shared" si="383"/>
        <v>576.81424197115314</v>
      </c>
      <c r="R495">
        <f t="shared" si="384"/>
        <v>1.5690626655428563</v>
      </c>
      <c r="S495">
        <f t="shared" si="385"/>
        <v>1.9066826119185566E-2</v>
      </c>
      <c r="T495">
        <f t="shared" si="386"/>
        <v>-1.5517283452154185</v>
      </c>
      <c r="U495">
        <f t="shared" si="387"/>
        <v>0.98761855384186004</v>
      </c>
      <c r="V495">
        <f t="shared" si="388"/>
        <v>-0.15752511475454051</v>
      </c>
      <c r="X495">
        <f t="shared" si="405"/>
        <v>-28.703381587494597</v>
      </c>
      <c r="Y495">
        <f t="shared" si="389"/>
        <v>-98.787657445830007</v>
      </c>
      <c r="Z495">
        <f t="shared" si="406"/>
        <v>81.212342554169993</v>
      </c>
      <c r="AC495">
        <v>1</v>
      </c>
      <c r="AD495">
        <f t="shared" si="390"/>
        <v>416.32260134094003</v>
      </c>
      <c r="AE495">
        <f t="shared" si="391"/>
        <v>-3.6752440285684322E-3</v>
      </c>
      <c r="AF495">
        <f t="shared" si="392"/>
        <v>2.3137861283176502E-2</v>
      </c>
      <c r="AG495">
        <f t="shared" si="421"/>
        <v>17543.632700295992</v>
      </c>
      <c r="AH495">
        <f t="shared" si="422"/>
        <v>-2829.869646109817</v>
      </c>
      <c r="AJ495">
        <f t="shared" si="393"/>
        <v>18000</v>
      </c>
      <c r="AK495">
        <f t="shared" si="394"/>
        <v>943876.4320477799</v>
      </c>
      <c r="AL495">
        <v>1</v>
      </c>
      <c r="AM495">
        <f t="shared" si="395"/>
        <v>576.81337514030997</v>
      </c>
      <c r="AN495">
        <f t="shared" si="423"/>
        <v>1636.4128185544198</v>
      </c>
      <c r="AO495">
        <f t="shared" si="424"/>
        <v>-28.368945462585941</v>
      </c>
      <c r="AQ495">
        <f t="shared" si="396"/>
        <v>1.2664478329241229E-3</v>
      </c>
      <c r="AR495">
        <f t="shared" si="397"/>
        <v>-3.5587184105167853</v>
      </c>
      <c r="AT495">
        <f t="shared" si="418"/>
        <v>-10048.491113358719</v>
      </c>
      <c r="AU495">
        <f t="shared" si="419"/>
        <v>-62436.432560168418</v>
      </c>
      <c r="AV495">
        <f t="shared" si="407"/>
        <v>-1.7303675485130479</v>
      </c>
      <c r="AW495">
        <f t="shared" si="408"/>
        <v>40950.035527667722</v>
      </c>
      <c r="AX495">
        <f t="shared" si="409"/>
        <v>-12599.433510154926</v>
      </c>
      <c r="AY495">
        <f t="shared" si="417"/>
        <v>-0.2984860504160457</v>
      </c>
      <c r="BA495">
        <f t="shared" si="398"/>
        <v>1.4760322534961816</v>
      </c>
      <c r="BB495">
        <f t="shared" si="410"/>
        <v>3.3819169513985869</v>
      </c>
      <c r="BC495">
        <f t="shared" si="411"/>
        <v>-1.431881498097002</v>
      </c>
      <c r="BD495">
        <f t="shared" si="399"/>
        <v>-262.04076669757308</v>
      </c>
      <c r="BF495">
        <f t="shared" si="400"/>
        <v>-46.036247522202629</v>
      </c>
      <c r="BG495">
        <f t="shared" si="401"/>
        <v>-172.65846013993985</v>
      </c>
      <c r="BH495">
        <f t="shared" si="412"/>
        <v>7.341539860060152</v>
      </c>
      <c r="BI495">
        <f t="shared" si="413"/>
        <v>7.341539860060152</v>
      </c>
      <c r="BJ495">
        <f t="shared" si="402"/>
        <v>0</v>
      </c>
      <c r="BK495">
        <f t="shared" si="414"/>
        <v>0</v>
      </c>
      <c r="BM495">
        <f t="shared" si="415"/>
        <v>-49.418164473601216</v>
      </c>
      <c r="BN495">
        <f t="shared" si="403"/>
        <v>-90.617693442366786</v>
      </c>
      <c r="BQ495" s="66">
        <f t="shared" si="416"/>
        <v>20.283877751683725</v>
      </c>
    </row>
    <row r="496" spans="1:69" x14ac:dyDescent="0.2">
      <c r="A496">
        <f t="shared" si="420"/>
        <v>1410000</v>
      </c>
      <c r="B496">
        <f t="shared" si="404"/>
        <v>1410</v>
      </c>
      <c r="C496">
        <f t="shared" si="373"/>
        <v>87.712684217758891</v>
      </c>
      <c r="D496">
        <f t="shared" si="374"/>
        <v>1.5593952201767112</v>
      </c>
      <c r="F496">
        <f t="shared" si="375"/>
        <v>2.560914732834493E-6</v>
      </c>
      <c r="G496">
        <f t="shared" si="376"/>
        <v>6.5854670277679063E-4</v>
      </c>
      <c r="H496">
        <f t="shared" si="377"/>
        <v>-3.1409341032972233</v>
      </c>
      <c r="J496">
        <f t="shared" si="378"/>
        <v>15</v>
      </c>
      <c r="M496">
        <f t="shared" si="379"/>
        <v>2.3925525942906493E-3</v>
      </c>
      <c r="N496">
        <f t="shared" si="380"/>
        <v>-1.5707963250000001</v>
      </c>
      <c r="O496">
        <f t="shared" si="381"/>
        <v>417.8053731658573</v>
      </c>
      <c r="P496">
        <f t="shared" si="382"/>
        <v>1.5684028655830424</v>
      </c>
      <c r="Q496">
        <f t="shared" si="383"/>
        <v>578.86695553479944</v>
      </c>
      <c r="R496">
        <f t="shared" si="384"/>
        <v>1.5690688132655397</v>
      </c>
      <c r="S496">
        <f t="shared" si="385"/>
        <v>1.8999237710302156E-2</v>
      </c>
      <c r="T496">
        <f t="shared" si="386"/>
        <v>-1.5517959458698054</v>
      </c>
      <c r="U496">
        <f t="shared" si="387"/>
        <v>0.98753191706920784</v>
      </c>
      <c r="V496">
        <f t="shared" si="388"/>
        <v>-0.15807642625343027</v>
      </c>
      <c r="X496">
        <f t="shared" si="405"/>
        <v>-28.734992604242198</v>
      </c>
      <c r="Y496">
        <f t="shared" si="389"/>
        <v>-98.82008803755312</v>
      </c>
      <c r="Z496">
        <f t="shared" si="406"/>
        <v>81.17991196244688</v>
      </c>
      <c r="AC496">
        <v>1</v>
      </c>
      <c r="AD496">
        <f t="shared" si="390"/>
        <v>417.80417643468007</v>
      </c>
      <c r="AE496">
        <f t="shared" si="391"/>
        <v>-3.701448894110713E-3</v>
      </c>
      <c r="AF496">
        <f t="shared" si="392"/>
        <v>2.3220202426532999E-2</v>
      </c>
      <c r="AG496">
        <f t="shared" si="421"/>
        <v>17540.554878305367</v>
      </c>
      <c r="AH496">
        <f t="shared" si="422"/>
        <v>-2839.1426674670461</v>
      </c>
      <c r="AJ496">
        <f t="shared" si="393"/>
        <v>18000</v>
      </c>
      <c r="AK496">
        <f t="shared" si="394"/>
        <v>947235.42290915991</v>
      </c>
      <c r="AL496">
        <v>1</v>
      </c>
      <c r="AM496">
        <f t="shared" si="395"/>
        <v>578.86609177781997</v>
      </c>
      <c r="AN496">
        <f t="shared" si="423"/>
        <v>1636.4124703640523</v>
      </c>
      <c r="AO496">
        <f t="shared" si="424"/>
        <v>-28.268346966705053</v>
      </c>
      <c r="AQ496">
        <f t="shared" si="396"/>
        <v>1.2574818598810598E-3</v>
      </c>
      <c r="AR496">
        <f t="shared" si="397"/>
        <v>-3.5460988448645887</v>
      </c>
      <c r="AT496">
        <f t="shared" si="418"/>
        <v>-10045.823603938941</v>
      </c>
      <c r="AU496">
        <f t="shared" si="419"/>
        <v>-62204.111562644539</v>
      </c>
      <c r="AV496">
        <f t="shared" si="407"/>
        <v>-1.7309116043459667</v>
      </c>
      <c r="AW496">
        <f t="shared" si="408"/>
        <v>40943.822586354639</v>
      </c>
      <c r="AX496">
        <f t="shared" si="409"/>
        <v>-12598.129746984481</v>
      </c>
      <c r="AY496">
        <f t="shared" si="417"/>
        <v>-0.29849961185232854</v>
      </c>
      <c r="BA496">
        <f t="shared" si="398"/>
        <v>1.4708860708210882</v>
      </c>
      <c r="BB496">
        <f t="shared" si="410"/>
        <v>3.351580704993852</v>
      </c>
      <c r="BC496">
        <f t="shared" si="411"/>
        <v>-1.432411992493638</v>
      </c>
      <c r="BD496">
        <f t="shared" si="399"/>
        <v>-262.07116178759037</v>
      </c>
      <c r="BF496">
        <f t="shared" si="400"/>
        <v>-46.097443708308205</v>
      </c>
      <c r="BG496">
        <f t="shared" si="401"/>
        <v>-172.68666502977302</v>
      </c>
      <c r="BH496">
        <f t="shared" si="412"/>
        <v>7.3133349702269754</v>
      </c>
      <c r="BI496">
        <f t="shared" si="413"/>
        <v>7.3133349702269754</v>
      </c>
      <c r="BJ496">
        <f t="shared" si="402"/>
        <v>0</v>
      </c>
      <c r="BK496">
        <f t="shared" si="414"/>
        <v>0</v>
      </c>
      <c r="BM496">
        <f t="shared" si="415"/>
        <v>-49.449024413302055</v>
      </c>
      <c r="BN496">
        <f t="shared" si="403"/>
        <v>-90.615503242182641</v>
      </c>
      <c r="BQ496" s="66">
        <f t="shared" si="416"/>
        <v>20.253541505278989</v>
      </c>
    </row>
    <row r="497" spans="1:69" x14ac:dyDescent="0.2">
      <c r="A497">
        <f t="shared" si="420"/>
        <v>1415000</v>
      </c>
      <c r="B497">
        <f t="shared" si="404"/>
        <v>1415</v>
      </c>
      <c r="C497">
        <f t="shared" si="373"/>
        <v>88.023681747895012</v>
      </c>
      <c r="D497">
        <f t="shared" si="374"/>
        <v>1.5594355032999976</v>
      </c>
      <c r="F497">
        <f t="shared" si="375"/>
        <v>2.5428483289215536E-6</v>
      </c>
      <c r="G497">
        <f t="shared" si="376"/>
        <v>6.5621967133889343E-4</v>
      </c>
      <c r="H497">
        <f t="shared" si="377"/>
        <v>-3.1409364303286611</v>
      </c>
      <c r="J497">
        <f t="shared" si="378"/>
        <v>15</v>
      </c>
      <c r="M497">
        <f t="shared" si="379"/>
        <v>2.3840983448408589E-3</v>
      </c>
      <c r="N497">
        <f t="shared" si="380"/>
        <v>-1.5707963250000001</v>
      </c>
      <c r="O497">
        <f t="shared" si="381"/>
        <v>419.28694403087724</v>
      </c>
      <c r="P497">
        <f t="shared" si="382"/>
        <v>1.5684113230110261</v>
      </c>
      <c r="Q497">
        <f t="shared" si="383"/>
        <v>580.91966912016915</v>
      </c>
      <c r="R497">
        <f t="shared" si="384"/>
        <v>1.5690749175415488</v>
      </c>
      <c r="S497">
        <f t="shared" si="385"/>
        <v>1.8932126700299572E-2</v>
      </c>
      <c r="T497">
        <f t="shared" si="386"/>
        <v>-1.5518630689528956</v>
      </c>
      <c r="U497">
        <f t="shared" si="387"/>
        <v>0.98744499544596209</v>
      </c>
      <c r="V497">
        <f t="shared" si="388"/>
        <v>-0.15862764086800302</v>
      </c>
      <c r="X497">
        <f t="shared" si="405"/>
        <v>-28.766497040554306</v>
      </c>
      <c r="Y497">
        <f t="shared" si="389"/>
        <v>-98.852507129929037</v>
      </c>
      <c r="Z497">
        <f t="shared" si="406"/>
        <v>81.147492870070963</v>
      </c>
      <c r="AC497">
        <v>1</v>
      </c>
      <c r="AD497">
        <f t="shared" si="390"/>
        <v>419.28575152842006</v>
      </c>
      <c r="AE497">
        <f t="shared" si="391"/>
        <v>-3.7277468497614922E-3</v>
      </c>
      <c r="AF497">
        <f t="shared" si="392"/>
        <v>2.3302543569889502E-2</v>
      </c>
      <c r="AG497">
        <f t="shared" si="421"/>
        <v>17537.467208171325</v>
      </c>
      <c r="AH497">
        <f t="shared" si="422"/>
        <v>-2848.4117169004339</v>
      </c>
      <c r="AJ497">
        <f t="shared" si="393"/>
        <v>18000</v>
      </c>
      <c r="AK497">
        <f t="shared" si="394"/>
        <v>950594.41377054004</v>
      </c>
      <c r="AL497">
        <v>1</v>
      </c>
      <c r="AM497">
        <f t="shared" si="395"/>
        <v>580.91880841532998</v>
      </c>
      <c r="AN497">
        <f t="shared" si="423"/>
        <v>1636.4121258582093</v>
      </c>
      <c r="AO497">
        <f t="shared" si="424"/>
        <v>-28.168459407915375</v>
      </c>
      <c r="AQ497">
        <f t="shared" si="396"/>
        <v>1.2486107644482057E-3</v>
      </c>
      <c r="AR497">
        <f t="shared" si="397"/>
        <v>-3.5335684633884226</v>
      </c>
      <c r="AT497">
        <f t="shared" si="418"/>
        <v>-10043.160343248164</v>
      </c>
      <c r="AU497">
        <f t="shared" si="419"/>
        <v>-61973.397612034103</v>
      </c>
      <c r="AV497">
        <f t="shared" si="407"/>
        <v>-1.7314556145710174</v>
      </c>
      <c r="AW497">
        <f t="shared" si="408"/>
        <v>40937.580096772872</v>
      </c>
      <c r="AX497">
        <f t="shared" si="409"/>
        <v>-12596.973515426347</v>
      </c>
      <c r="AY497">
        <f t="shared" si="417"/>
        <v>-0.29851667228563666</v>
      </c>
      <c r="BA497">
        <f t="shared" si="398"/>
        <v>1.4657753416342438</v>
      </c>
      <c r="BB497">
        <f t="shared" si="410"/>
        <v>3.32134822785852</v>
      </c>
      <c r="BC497">
        <f t="shared" si="411"/>
        <v>-1.4329389422853807</v>
      </c>
      <c r="BD497">
        <f t="shared" si="399"/>
        <v>-262.10135378670702</v>
      </c>
      <c r="BF497">
        <f t="shared" si="400"/>
        <v>-46.158426856819226</v>
      </c>
      <c r="BG497">
        <f t="shared" si="401"/>
        <v>-172.71468230501745</v>
      </c>
      <c r="BH497">
        <f t="shared" si="412"/>
        <v>7.2853176949825524</v>
      </c>
      <c r="BI497">
        <f t="shared" si="413"/>
        <v>7.2853176949825524</v>
      </c>
      <c r="BJ497">
        <f t="shared" si="402"/>
        <v>0</v>
      </c>
      <c r="BK497">
        <f t="shared" si="414"/>
        <v>0</v>
      </c>
      <c r="BM497">
        <f t="shared" si="415"/>
        <v>-49.47977508467774</v>
      </c>
      <c r="BN497">
        <f t="shared" si="403"/>
        <v>-90.613328518310425</v>
      </c>
      <c r="BQ497" s="66">
        <f t="shared" si="416"/>
        <v>20.223309028143657</v>
      </c>
    </row>
    <row r="498" spans="1:69" x14ac:dyDescent="0.2">
      <c r="A498">
        <f t="shared" si="420"/>
        <v>1420000</v>
      </c>
      <c r="B498">
        <f t="shared" si="404"/>
        <v>1420</v>
      </c>
      <c r="C498">
        <f t="shared" si="373"/>
        <v>88.334679419864031</v>
      </c>
      <c r="D498">
        <f t="shared" si="374"/>
        <v>1.5594755027758016</v>
      </c>
      <c r="F498">
        <f t="shared" si="375"/>
        <v>2.5249724317088311E-6</v>
      </c>
      <c r="G498">
        <f t="shared" si="376"/>
        <v>6.5390902756493118E-4</v>
      </c>
      <c r="H498">
        <f t="shared" si="377"/>
        <v>-3.1409387409724352</v>
      </c>
      <c r="J498">
        <f t="shared" si="378"/>
        <v>15</v>
      </c>
      <c r="M498">
        <f t="shared" si="379"/>
        <v>2.3757036323590248E-3</v>
      </c>
      <c r="N498">
        <f t="shared" si="380"/>
        <v>-1.5707963250000001</v>
      </c>
      <c r="O498">
        <f t="shared" si="381"/>
        <v>420.76851492567681</v>
      </c>
      <c r="P498">
        <f t="shared" si="382"/>
        <v>1.5684197208799955</v>
      </c>
      <c r="Q498">
        <f t="shared" si="383"/>
        <v>582.97238272703282</v>
      </c>
      <c r="R498">
        <f t="shared" si="384"/>
        <v>1.5690809788298259</v>
      </c>
      <c r="S498">
        <f t="shared" si="385"/>
        <v>1.8865488049840961E-2</v>
      </c>
      <c r="T498">
        <f t="shared" si="386"/>
        <v>-1.5519297195070496</v>
      </c>
      <c r="U498">
        <f t="shared" si="387"/>
        <v>0.98735778920577244</v>
      </c>
      <c r="V498">
        <f t="shared" si="388"/>
        <v>-0.15917875828892439</v>
      </c>
      <c r="X498">
        <f t="shared" si="405"/>
        <v>-28.797895664590886</v>
      </c>
      <c r="Y498">
        <f t="shared" si="389"/>
        <v>-98.884914767960609</v>
      </c>
      <c r="Z498">
        <f t="shared" si="406"/>
        <v>81.115085232039391</v>
      </c>
      <c r="AC498">
        <v>1</v>
      </c>
      <c r="AD498">
        <f t="shared" si="390"/>
        <v>420.76732662216006</v>
      </c>
      <c r="AE498">
        <f t="shared" si="391"/>
        <v>-3.7541378955207694E-3</v>
      </c>
      <c r="AF498">
        <f t="shared" si="392"/>
        <v>2.3384884713246002E-2</v>
      </c>
      <c r="AG498">
        <f t="shared" si="421"/>
        <v>17534.369700864576</v>
      </c>
      <c r="AH498">
        <f t="shared" si="422"/>
        <v>-2857.6767680293115</v>
      </c>
      <c r="AJ498">
        <f t="shared" si="393"/>
        <v>18000</v>
      </c>
      <c r="AK498">
        <f t="shared" si="394"/>
        <v>953953.40463192004</v>
      </c>
      <c r="AL498">
        <v>1</v>
      </c>
      <c r="AM498">
        <f t="shared" si="395"/>
        <v>582.97152505283998</v>
      </c>
      <c r="AN498">
        <f t="shared" si="423"/>
        <v>1636.4117849850873</v>
      </c>
      <c r="AO498">
        <f t="shared" si="424"/>
        <v>-28.069275276406909</v>
      </c>
      <c r="AQ498">
        <f t="shared" si="396"/>
        <v>1.2398332126768979E-3</v>
      </c>
      <c r="AR498">
        <f t="shared" si="397"/>
        <v>-3.52112632400239</v>
      </c>
      <c r="AT498">
        <f t="shared" si="418"/>
        <v>-10040.501199479593</v>
      </c>
      <c r="AU498">
        <f t="shared" si="419"/>
        <v>-61744.273771072265</v>
      </c>
      <c r="AV498">
        <f t="shared" si="407"/>
        <v>-1.7319995783372177</v>
      </c>
      <c r="AW498">
        <f t="shared" si="408"/>
        <v>40931.308187945106</v>
      </c>
      <c r="AX498">
        <f t="shared" si="409"/>
        <v>-12595.963103304211</v>
      </c>
      <c r="AY498">
        <f t="shared" si="417"/>
        <v>-0.29853719414571062</v>
      </c>
      <c r="BA498">
        <f t="shared" si="398"/>
        <v>1.4606997039824292</v>
      </c>
      <c r="BB498">
        <f t="shared" si="410"/>
        <v>3.2912188250754868</v>
      </c>
      <c r="BC498">
        <f t="shared" si="411"/>
        <v>-1.4334623841915071</v>
      </c>
      <c r="BD498">
        <f t="shared" si="399"/>
        <v>-262.13134479878261</v>
      </c>
      <c r="BF498">
        <f t="shared" si="400"/>
        <v>-46.2191984338167</v>
      </c>
      <c r="BG498">
        <f t="shared" si="401"/>
        <v>-172.74251390608049</v>
      </c>
      <c r="BH498">
        <f t="shared" si="412"/>
        <v>7.2574860939195105</v>
      </c>
      <c r="BI498">
        <f t="shared" si="413"/>
        <v>7.2574860939195105</v>
      </c>
      <c r="BJ498">
        <f t="shared" si="402"/>
        <v>0</v>
      </c>
      <c r="BK498">
        <f t="shared" si="414"/>
        <v>0</v>
      </c>
      <c r="BM498">
        <f t="shared" si="415"/>
        <v>-49.51041725889219</v>
      </c>
      <c r="BN498">
        <f t="shared" si="403"/>
        <v>-90.611169107297869</v>
      </c>
      <c r="BQ498" s="66">
        <f t="shared" si="416"/>
        <v>20.193179625360624</v>
      </c>
    </row>
    <row r="499" spans="1:69" x14ac:dyDescent="0.2">
      <c r="A499">
        <f t="shared" si="420"/>
        <v>1425000</v>
      </c>
      <c r="B499">
        <f t="shared" si="404"/>
        <v>1425</v>
      </c>
      <c r="C499">
        <f t="shared" si="373"/>
        <v>88.645677232173171</v>
      </c>
      <c r="D499">
        <f t="shared" si="374"/>
        <v>1.5595152215893768</v>
      </c>
      <c r="F499">
        <f t="shared" si="375"/>
        <v>2.5072843721041005E-6</v>
      </c>
      <c r="G499">
        <f t="shared" si="376"/>
        <v>6.5161459895152207E-4</v>
      </c>
      <c r="H499">
        <f t="shared" si="377"/>
        <v>-3.1409410354010485</v>
      </c>
      <c r="J499">
        <f t="shared" si="378"/>
        <v>15</v>
      </c>
      <c r="M499">
        <f t="shared" si="379"/>
        <v>2.3673678301402213E-3</v>
      </c>
      <c r="N499">
        <f t="shared" si="380"/>
        <v>-1.5707963250000001</v>
      </c>
      <c r="O499">
        <f t="shared" si="381"/>
        <v>422.25008584994254</v>
      </c>
      <c r="P499">
        <f t="shared" si="382"/>
        <v>1.5684280598168825</v>
      </c>
      <c r="Q499">
        <f t="shared" si="383"/>
        <v>585.02509635516412</v>
      </c>
      <c r="R499">
        <f t="shared" si="384"/>
        <v>1.5690869975828712</v>
      </c>
      <c r="S499">
        <f t="shared" si="385"/>
        <v>1.8799316790254064E-2</v>
      </c>
      <c r="T499">
        <f t="shared" si="386"/>
        <v>-1.5519959025038996</v>
      </c>
      <c r="U499">
        <f t="shared" si="387"/>
        <v>0.98727029858294135</v>
      </c>
      <c r="V499">
        <f t="shared" si="388"/>
        <v>-0.15972977820720533</v>
      </c>
      <c r="X499">
        <f t="shared" si="405"/>
        <v>-28.829189236400111</v>
      </c>
      <c r="Y499">
        <f t="shared" si="389"/>
        <v>-98.917310995791922</v>
      </c>
      <c r="Z499">
        <f t="shared" si="406"/>
        <v>81.082689004208078</v>
      </c>
      <c r="AC499">
        <v>1</v>
      </c>
      <c r="AD499">
        <f t="shared" si="390"/>
        <v>422.24890171590005</v>
      </c>
      <c r="AE499">
        <f t="shared" si="391"/>
        <v>-3.7806220313885454E-3</v>
      </c>
      <c r="AF499">
        <f t="shared" si="392"/>
        <v>2.3467225856602502E-2</v>
      </c>
      <c r="AG499">
        <f t="shared" si="421"/>
        <v>17531.262367384854</v>
      </c>
      <c r="AH499">
        <f t="shared" si="422"/>
        <v>-2866.937794663068</v>
      </c>
      <c r="AJ499">
        <f t="shared" si="393"/>
        <v>18000</v>
      </c>
      <c r="AK499">
        <f t="shared" si="394"/>
        <v>957312.39549329993</v>
      </c>
      <c r="AL499">
        <v>1</v>
      </c>
      <c r="AM499">
        <f t="shared" si="395"/>
        <v>585.02424169034998</v>
      </c>
      <c r="AN499">
        <f t="shared" si="423"/>
        <v>1636.4114476937905</v>
      </c>
      <c r="AO499">
        <f t="shared" si="424"/>
        <v>-27.970787167768965</v>
      </c>
      <c r="AQ499">
        <f t="shared" si="396"/>
        <v>1.2311478939799453E-3</v>
      </c>
      <c r="AR499">
        <f t="shared" si="397"/>
        <v>-3.5087714978428441</v>
      </c>
      <c r="AT499">
        <f t="shared" si="418"/>
        <v>-10037.846043259777</v>
      </c>
      <c r="AU499">
        <f t="shared" si="419"/>
        <v>-61516.723340312907</v>
      </c>
      <c r="AV499">
        <f t="shared" si="407"/>
        <v>-1.7325434948015328</v>
      </c>
      <c r="AW499">
        <f t="shared" si="408"/>
        <v>40925.006987131317</v>
      </c>
      <c r="AX499">
        <f t="shared" si="409"/>
        <v>-12595.096822071311</v>
      </c>
      <c r="AY499">
        <f t="shared" si="417"/>
        <v>-0.29856114037321185</v>
      </c>
      <c r="BA499">
        <f t="shared" si="398"/>
        <v>1.4556588007786393</v>
      </c>
      <c r="BB499">
        <f t="shared" si="410"/>
        <v>3.2611918085493037</v>
      </c>
      <c r="BC499">
        <f t="shared" si="411"/>
        <v>-1.433982354428321</v>
      </c>
      <c r="BD499">
        <f t="shared" si="399"/>
        <v>-262.16113689885856</v>
      </c>
      <c r="BF499">
        <f t="shared" si="400"/>
        <v>-46.279759890423875</v>
      </c>
      <c r="BG499">
        <f t="shared" si="401"/>
        <v>-172.77016174684474</v>
      </c>
      <c r="BH499">
        <f t="shared" si="412"/>
        <v>7.2298382531552647</v>
      </c>
      <c r="BI499">
        <f t="shared" si="413"/>
        <v>7.2298382531552647</v>
      </c>
      <c r="BJ499">
        <f t="shared" si="402"/>
        <v>0</v>
      </c>
      <c r="BK499">
        <f t="shared" si="414"/>
        <v>0</v>
      </c>
      <c r="BM499">
        <f t="shared" si="415"/>
        <v>-49.540951698973181</v>
      </c>
      <c r="BN499">
        <f t="shared" si="403"/>
        <v>-90.60902484798622</v>
      </c>
      <c r="BQ499" s="66">
        <f t="shared" si="416"/>
        <v>20.163152608834437</v>
      </c>
    </row>
    <row r="500" spans="1:69" x14ac:dyDescent="0.2">
      <c r="A500">
        <f t="shared" si="420"/>
        <v>1430000</v>
      </c>
      <c r="B500">
        <f t="shared" si="404"/>
        <v>1430</v>
      </c>
      <c r="C500">
        <f t="shared" si="373"/>
        <v>88.956675183350484</v>
      </c>
      <c r="D500">
        <f t="shared" si="374"/>
        <v>1.559554662684234</v>
      </c>
      <c r="F500">
        <f t="shared" si="375"/>
        <v>2.4897815275960824E-6</v>
      </c>
      <c r="G500">
        <f t="shared" si="376"/>
        <v>6.4933621540794835E-4</v>
      </c>
      <c r="H500">
        <f t="shared" si="377"/>
        <v>-3.1409433137845921</v>
      </c>
      <c r="J500">
        <f t="shared" si="378"/>
        <v>15</v>
      </c>
      <c r="M500">
        <f t="shared" si="379"/>
        <v>2.3590903202446263E-3</v>
      </c>
      <c r="N500">
        <f t="shared" si="380"/>
        <v>-1.5707963250000001</v>
      </c>
      <c r="O500">
        <f t="shared" si="381"/>
        <v>423.73165680336524</v>
      </c>
      <c r="P500">
        <f t="shared" si="382"/>
        <v>1.5684363404398516</v>
      </c>
      <c r="Q500">
        <f t="shared" si="383"/>
        <v>587.07781000433988</v>
      </c>
      <c r="R500">
        <f t="shared" si="384"/>
        <v>1.5690929742468569</v>
      </c>
      <c r="S500">
        <f t="shared" si="385"/>
        <v>1.8733608022297121E-2</v>
      </c>
      <c r="T500">
        <f t="shared" si="386"/>
        <v>-1.5520616228455861</v>
      </c>
      <c r="U500">
        <f t="shared" si="387"/>
        <v>0.98718252381242466</v>
      </c>
      <c r="V500">
        <f t="shared" si="388"/>
        <v>-0.16028070031420291</v>
      </c>
      <c r="X500">
        <f t="shared" si="405"/>
        <v>-28.860378508031808</v>
      </c>
      <c r="Y500">
        <f t="shared" si="389"/>
        <v>-98.949695856723778</v>
      </c>
      <c r="Z500">
        <f t="shared" si="406"/>
        <v>81.050304143276222</v>
      </c>
      <c r="AC500">
        <v>1</v>
      </c>
      <c r="AD500">
        <f t="shared" si="390"/>
        <v>423.73047680964004</v>
      </c>
      <c r="AE500">
        <f t="shared" si="391"/>
        <v>-3.807199257364819E-3</v>
      </c>
      <c r="AF500">
        <f t="shared" si="392"/>
        <v>2.3549566999959002E-2</v>
      </c>
      <c r="AG500">
        <f t="shared" si="421"/>
        <v>17528.145218760852</v>
      </c>
      <c r="AH500">
        <f t="shared" si="422"/>
        <v>-2876.1947707984159</v>
      </c>
      <c r="AJ500">
        <f t="shared" si="393"/>
        <v>18000</v>
      </c>
      <c r="AK500">
        <f t="shared" si="394"/>
        <v>960671.38635467994</v>
      </c>
      <c r="AL500">
        <v>1</v>
      </c>
      <c r="AM500">
        <f t="shared" si="395"/>
        <v>587.07695832785998</v>
      </c>
      <c r="AN500">
        <f t="shared" si="423"/>
        <v>1636.4111139343122</v>
      </c>
      <c r="AO500">
        <f t="shared" si="424"/>
        <v>-27.872987781147508</v>
      </c>
      <c r="AQ500">
        <f t="shared" si="396"/>
        <v>1.2225535206423883E-3</v>
      </c>
      <c r="AR500">
        <f t="shared" si="397"/>
        <v>-3.4965030690372307</v>
      </c>
      <c r="AT500">
        <f t="shared" si="418"/>
        <v>-10035.194747597969</v>
      </c>
      <c r="AU500">
        <f t="shared" si="419"/>
        <v>-61290.729853970675</v>
      </c>
      <c r="AV500">
        <f t="shared" si="407"/>
        <v>-1.7330873631287429</v>
      </c>
      <c r="AW500">
        <f t="shared" si="408"/>
        <v>40918.676619866892</v>
      </c>
      <c r="AX500">
        <f t="shared" si="409"/>
        <v>-12594.373006398582</v>
      </c>
      <c r="AY500">
        <f t="shared" si="417"/>
        <v>-0.29858847441105019</v>
      </c>
      <c r="BA500">
        <f t="shared" si="398"/>
        <v>1.4506522797213459</v>
      </c>
      <c r="BB500">
        <f t="shared" si="410"/>
        <v>3.2312664969191363</v>
      </c>
      <c r="BC500">
        <f t="shared" si="411"/>
        <v>-1.4344988887176928</v>
      </c>
      <c r="BD500">
        <f t="shared" si="399"/>
        <v>-262.19073213364715</v>
      </c>
      <c r="BF500">
        <f t="shared" si="400"/>
        <v>-46.340112663007275</v>
      </c>
      <c r="BG500">
        <f t="shared" si="401"/>
        <v>-172.79762771511739</v>
      </c>
      <c r="BH500">
        <f t="shared" si="412"/>
        <v>7.2023722848826139</v>
      </c>
      <c r="BI500">
        <f t="shared" si="413"/>
        <v>7.2023722848826139</v>
      </c>
      <c r="BJ500">
        <f t="shared" si="402"/>
        <v>0</v>
      </c>
      <c r="BK500">
        <f t="shared" si="414"/>
        <v>0</v>
      </c>
      <c r="BM500">
        <f t="shared" si="415"/>
        <v>-49.571379159926408</v>
      </c>
      <c r="BN500">
        <f t="shared" si="403"/>
        <v>-90.606895581470255</v>
      </c>
      <c r="BQ500" s="66">
        <f t="shared" si="416"/>
        <v>20.133227297204272</v>
      </c>
    </row>
    <row r="501" spans="1:69" x14ac:dyDescent="0.2">
      <c r="A501">
        <f t="shared" si="420"/>
        <v>1435000</v>
      </c>
      <c r="B501">
        <f t="shared" si="404"/>
        <v>1435</v>
      </c>
      <c r="C501">
        <f t="shared" si="373"/>
        <v>89.267673271944602</v>
      </c>
      <c r="D501">
        <f t="shared" si="374"/>
        <v>1.5595938289628681</v>
      </c>
      <c r="F501">
        <f t="shared" si="375"/>
        <v>2.4724613212823206E-6</v>
      </c>
      <c r="G501">
        <f t="shared" si="376"/>
        <v>6.4707370921412272E-4</v>
      </c>
      <c r="H501">
        <f t="shared" si="377"/>
        <v>-3.1409455762907861</v>
      </c>
      <c r="J501">
        <f t="shared" si="378"/>
        <v>15</v>
      </c>
      <c r="M501">
        <f t="shared" si="379"/>
        <v>2.3508704933448191E-3</v>
      </c>
      <c r="N501">
        <f t="shared" si="380"/>
        <v>-1.5707963250000001</v>
      </c>
      <c r="O501">
        <f t="shared" si="381"/>
        <v>425.21322778564024</v>
      </c>
      <c r="P501">
        <f t="shared" si="382"/>
        <v>1.5684445633584514</v>
      </c>
      <c r="Q501">
        <f t="shared" si="383"/>
        <v>589.13052367434034</v>
      </c>
      <c r="R501">
        <f t="shared" si="384"/>
        <v>1.5690989092617367</v>
      </c>
      <c r="S501">
        <f t="shared" si="385"/>
        <v>1.8668356914950557E-2</v>
      </c>
      <c r="T501">
        <f t="shared" si="386"/>
        <v>-1.5521268853659667</v>
      </c>
      <c r="U501">
        <f t="shared" si="387"/>
        <v>0.98709446512982735</v>
      </c>
      <c r="V501">
        <f t="shared" si="388"/>
        <v>-0.16083152430162129</v>
      </c>
      <c r="X501">
        <f t="shared" si="405"/>
        <v>-28.891464223648974</v>
      </c>
      <c r="Y501">
        <f t="shared" si="389"/>
        <v>-98.982069393228699</v>
      </c>
      <c r="Z501">
        <f t="shared" si="406"/>
        <v>81.017930606771301</v>
      </c>
      <c r="AC501">
        <v>1</v>
      </c>
      <c r="AD501">
        <f t="shared" si="390"/>
        <v>425.21205190338003</v>
      </c>
      <c r="AE501">
        <f t="shared" si="391"/>
        <v>-3.8338695734495914E-3</v>
      </c>
      <c r="AF501">
        <f t="shared" si="392"/>
        <v>2.3631908143315502E-2</v>
      </c>
      <c r="AG501">
        <f t="shared" si="421"/>
        <v>17525.018266050069</v>
      </c>
      <c r="AH501">
        <f t="shared" si="422"/>
        <v>-2885.4476706167065</v>
      </c>
      <c r="AJ501">
        <f t="shared" si="393"/>
        <v>18000</v>
      </c>
      <c r="AK501">
        <f t="shared" si="394"/>
        <v>964030.37721605995</v>
      </c>
      <c r="AL501">
        <v>1</v>
      </c>
      <c r="AM501">
        <f t="shared" si="395"/>
        <v>589.12967496536999</v>
      </c>
      <c r="AN501">
        <f t="shared" si="423"/>
        <v>1636.4107836575138</v>
      </c>
      <c r="AO501">
        <f t="shared" si="424"/>
        <v>-27.775869917441124</v>
      </c>
      <c r="AQ501">
        <f t="shared" si="396"/>
        <v>1.2140488273441675E-3</v>
      </c>
      <c r="AR501">
        <f t="shared" si="397"/>
        <v>-3.4843201344777603</v>
      </c>
      <c r="AT501">
        <f t="shared" si="418"/>
        <v>-10032.547187836661</v>
      </c>
      <c r="AU501">
        <f t="shared" si="419"/>
        <v>-61066.277075849655</v>
      </c>
      <c r="AV501">
        <f t="shared" si="407"/>
        <v>-1.7336311824913144</v>
      </c>
      <c r="AW501">
        <f t="shared" si="408"/>
        <v>40912.317209999594</v>
      </c>
      <c r="AX501">
        <f t="shared" si="409"/>
        <v>-12593.79001377137</v>
      </c>
      <c r="AY501">
        <f t="shared" si="417"/>
        <v>-0.2986191601958868</v>
      </c>
      <c r="BA501">
        <f t="shared" si="398"/>
        <v>1.4456797932153493</v>
      </c>
      <c r="BB501">
        <f t="shared" si="410"/>
        <v>3.2014422154730866</v>
      </c>
      <c r="BC501">
        <f t="shared" si="411"/>
        <v>-1.4350120222954277</v>
      </c>
      <c r="BD501">
        <f t="shared" si="399"/>
        <v>-262.2201325220114</v>
      </c>
      <c r="BF501">
        <f t="shared" si="400"/>
        <v>-46.400258173374496</v>
      </c>
      <c r="BG501">
        <f t="shared" si="401"/>
        <v>-172.82491367307028</v>
      </c>
      <c r="BH501">
        <f t="shared" si="412"/>
        <v>7.1750863269297156</v>
      </c>
      <c r="BI501">
        <f t="shared" si="413"/>
        <v>7.1750863269297156</v>
      </c>
      <c r="BJ501">
        <f t="shared" si="402"/>
        <v>0</v>
      </c>
      <c r="BK501">
        <f t="shared" si="414"/>
        <v>0</v>
      </c>
      <c r="BM501">
        <f t="shared" si="415"/>
        <v>-49.60170038884759</v>
      </c>
      <c r="BN501">
        <f t="shared" si="403"/>
        <v>-90.604781151058916</v>
      </c>
      <c r="BQ501" s="66">
        <f t="shared" si="416"/>
        <v>20.103403015758225</v>
      </c>
    </row>
    <row r="502" spans="1:69" x14ac:dyDescent="0.2">
      <c r="A502">
        <f t="shared" si="420"/>
        <v>1440000</v>
      </c>
      <c r="B502">
        <f t="shared" si="404"/>
        <v>1440</v>
      </c>
      <c r="C502">
        <f t="shared" si="373"/>
        <v>89.578671496524279</v>
      </c>
      <c r="D502">
        <f t="shared" si="374"/>
        <v>1.55963272328747</v>
      </c>
      <c r="F502">
        <f t="shared" si="375"/>
        <v>2.455321220920646E-6</v>
      </c>
      <c r="G502">
        <f t="shared" si="376"/>
        <v>6.4482691497943026E-4</v>
      </c>
      <c r="H502">
        <f t="shared" si="377"/>
        <v>-3.1409478230850207</v>
      </c>
      <c r="J502">
        <f t="shared" si="378"/>
        <v>15</v>
      </c>
      <c r="M502">
        <f t="shared" si="379"/>
        <v>2.3427077485762607E-3</v>
      </c>
      <c r="N502">
        <f t="shared" si="380"/>
        <v>-1.5707963250000001</v>
      </c>
      <c r="O502">
        <f t="shared" si="381"/>
        <v>426.69479879646701</v>
      </c>
      <c r="P502">
        <f t="shared" si="382"/>
        <v>1.5684527291737644</v>
      </c>
      <c r="Q502">
        <f t="shared" si="383"/>
        <v>591.18323736494847</v>
      </c>
      <c r="R502">
        <f t="shared" si="384"/>
        <v>1.5691048030613537</v>
      </c>
      <c r="S502">
        <f t="shared" si="385"/>
        <v>1.8603558704233823E-2</v>
      </c>
      <c r="T502">
        <f t="shared" si="386"/>
        <v>-1.5521916948318009</v>
      </c>
      <c r="U502">
        <f t="shared" si="387"/>
        <v>0.98700612277140343</v>
      </c>
      <c r="V502">
        <f t="shared" si="388"/>
        <v>-0.16138224986151253</v>
      </c>
      <c r="X502">
        <f t="shared" si="405"/>
        <v>-28.922447119637336</v>
      </c>
      <c r="Y502">
        <f t="shared" si="389"/>
        <v>-99.014431646965505</v>
      </c>
      <c r="Z502">
        <f t="shared" si="406"/>
        <v>80.985568353034495</v>
      </c>
      <c r="AC502">
        <v>1</v>
      </c>
      <c r="AD502">
        <f t="shared" si="390"/>
        <v>426.69362699712008</v>
      </c>
      <c r="AE502">
        <f t="shared" si="391"/>
        <v>-3.8606329796428626E-3</v>
      </c>
      <c r="AF502">
        <f t="shared" si="392"/>
        <v>2.3714249286672002E-2</v>
      </c>
      <c r="AG502">
        <f t="shared" si="421"/>
        <v>17521.881520338786</v>
      </c>
      <c r="AH502">
        <f t="shared" si="422"/>
        <v>-2894.6964684813047</v>
      </c>
      <c r="AJ502">
        <f t="shared" si="393"/>
        <v>18000</v>
      </c>
      <c r="AK502">
        <f t="shared" si="394"/>
        <v>967389.36807743995</v>
      </c>
      <c r="AL502">
        <v>1</v>
      </c>
      <c r="AM502">
        <f t="shared" si="395"/>
        <v>591.18239160287999</v>
      </c>
      <c r="AN502">
        <f t="shared" si="423"/>
        <v>1636.410456815109</v>
      </c>
      <c r="AO502">
        <f t="shared" si="424"/>
        <v>-27.679426477534442</v>
      </c>
      <c r="AQ502">
        <f t="shared" si="396"/>
        <v>1.2056325706943755E-3</v>
      </c>
      <c r="AR502">
        <f t="shared" si="397"/>
        <v>-3.472221803599802</v>
      </c>
      <c r="AT502">
        <f t="shared" si="418"/>
        <v>-10029.903241603364</v>
      </c>
      <c r="AU502">
        <f t="shared" si="419"/>
        <v>-60843.348995357454</v>
      </c>
      <c r="AV502">
        <f t="shared" si="407"/>
        <v>-1.7341749520692731</v>
      </c>
      <c r="AW502">
        <f t="shared" si="408"/>
        <v>40905.928879726052</v>
      </c>
      <c r="AX502">
        <f t="shared" si="409"/>
        <v>-12593.346224094592</v>
      </c>
      <c r="AY502">
        <f t="shared" si="417"/>
        <v>-0.29865316214980753</v>
      </c>
      <c r="BA502">
        <f t="shared" si="398"/>
        <v>1.4407409982941761</v>
      </c>
      <c r="BB502">
        <f t="shared" si="410"/>
        <v>3.1717182960638151</v>
      </c>
      <c r="BC502">
        <f t="shared" si="411"/>
        <v>-1.4355217899194654</v>
      </c>
      <c r="BD502">
        <f t="shared" si="399"/>
        <v>-262.24934005543457</v>
      </c>
      <c r="BF502">
        <f t="shared" si="400"/>
        <v>-46.460197828968731</v>
      </c>
      <c r="BG502">
        <f t="shared" si="401"/>
        <v>-172.85202145767141</v>
      </c>
      <c r="BH502">
        <f t="shared" si="412"/>
        <v>7.1479785423285875</v>
      </c>
      <c r="BI502">
        <f t="shared" si="413"/>
        <v>7.1479785423285875</v>
      </c>
      <c r="BJ502">
        <f t="shared" si="402"/>
        <v>0</v>
      </c>
      <c r="BK502">
        <f t="shared" si="414"/>
        <v>0</v>
      </c>
      <c r="BM502">
        <f t="shared" si="415"/>
        <v>-49.631916125032554</v>
      </c>
      <c r="BN502">
        <f t="shared" si="403"/>
        <v>-90.602681402236897</v>
      </c>
      <c r="BQ502" s="66">
        <f t="shared" si="416"/>
        <v>20.073679096348954</v>
      </c>
    </row>
    <row r="503" spans="1:69" x14ac:dyDescent="0.2">
      <c r="A503">
        <f t="shared" si="420"/>
        <v>1445000</v>
      </c>
      <c r="B503">
        <f t="shared" si="404"/>
        <v>1445</v>
      </c>
      <c r="C503">
        <f t="shared" si="373"/>
        <v>89.889669855678051</v>
      </c>
      <c r="D503">
        <f t="shared" si="374"/>
        <v>1.5596713484806233</v>
      </c>
      <c r="F503">
        <f t="shared" si="375"/>
        <v>2.4383587380035777E-6</v>
      </c>
      <c r="G503">
        <f t="shared" si="376"/>
        <v>6.4259566960242747E-4</v>
      </c>
      <c r="H503">
        <f t="shared" si="377"/>
        <v>-3.1409500543303976</v>
      </c>
      <c r="J503">
        <f t="shared" si="378"/>
        <v>15</v>
      </c>
      <c r="M503">
        <f t="shared" si="379"/>
        <v>2.3346014933908754E-3</v>
      </c>
      <c r="N503">
        <f t="shared" si="380"/>
        <v>-1.5707963250000001</v>
      </c>
      <c r="O503">
        <f t="shared" si="381"/>
        <v>428.17636983554905</v>
      </c>
      <c r="P503">
        <f t="shared" si="382"/>
        <v>1.5684608384785541</v>
      </c>
      <c r="Q503">
        <f t="shared" si="383"/>
        <v>593.2359510759502</v>
      </c>
      <c r="R503">
        <f t="shared" si="384"/>
        <v>1.5691106560735464</v>
      </c>
      <c r="S503">
        <f t="shared" si="385"/>
        <v>1.853920869204673E-2</v>
      </c>
      <c r="T503">
        <f t="shared" si="386"/>
        <v>-1.5522560559439107</v>
      </c>
      <c r="U503">
        <f t="shared" si="387"/>
        <v>0.98691749697405395</v>
      </c>
      <c r="V503">
        <f t="shared" si="388"/>
        <v>-0.16193287668627765</v>
      </c>
      <c r="X503">
        <f t="shared" si="405"/>
        <v>-28.95332792471304</v>
      </c>
      <c r="Y503">
        <f t="shared" si="389"/>
        <v>-99.046782658794143</v>
      </c>
      <c r="Z503">
        <f t="shared" si="406"/>
        <v>80.953217341205857</v>
      </c>
      <c r="AC503">
        <v>1</v>
      </c>
      <c r="AD503">
        <f t="shared" si="390"/>
        <v>428.17520209086007</v>
      </c>
      <c r="AE503">
        <f t="shared" si="391"/>
        <v>-3.8874894759446314E-3</v>
      </c>
      <c r="AF503">
        <f t="shared" si="392"/>
        <v>2.3796590430028502E-2</v>
      </c>
      <c r="AG503">
        <f t="shared" si="421"/>
        <v>17518.734992741905</v>
      </c>
      <c r="AH503">
        <f t="shared" si="422"/>
        <v>-2903.941138935018</v>
      </c>
      <c r="AJ503">
        <f t="shared" si="393"/>
        <v>18000</v>
      </c>
      <c r="AK503">
        <f t="shared" si="394"/>
        <v>970748.35893882008</v>
      </c>
      <c r="AL503">
        <v>1</v>
      </c>
      <c r="AM503">
        <f t="shared" si="395"/>
        <v>593.23510824038999</v>
      </c>
      <c r="AN503">
        <f t="shared" si="423"/>
        <v>1636.4101333596461</v>
      </c>
      <c r="AO503">
        <f t="shared" si="424"/>
        <v>-27.583650460568357</v>
      </c>
      <c r="AQ503">
        <f t="shared" si="396"/>
        <v>1.1973035287767713E-3</v>
      </c>
      <c r="AR503">
        <f t="shared" si="397"/>
        <v>-3.460207198164869</v>
      </c>
      <c r="AT503">
        <f t="shared" si="418"/>
        <v>-10027.262788763521</v>
      </c>
      <c r="AU503">
        <f t="shared" si="419"/>
        <v>-60621.92982360132</v>
      </c>
      <c r="AV503">
        <f t="shared" si="407"/>
        <v>-1.7347186710500806</v>
      </c>
      <c r="AW503">
        <f t="shared" si="408"/>
        <v>40899.511749626821</v>
      </c>
      <c r="AX503">
        <f t="shared" si="409"/>
        <v>-12593.040039306077</v>
      </c>
      <c r="AY503">
        <f t="shared" si="417"/>
        <v>-0.29869044517216542</v>
      </c>
      <c r="BA503">
        <f t="shared" si="398"/>
        <v>1.4358355565439955</v>
      </c>
      <c r="BB503">
        <f t="shared" si="410"/>
        <v>3.1420940770254875</v>
      </c>
      <c r="BC503">
        <f t="shared" si="411"/>
        <v>-1.4360282258779151</v>
      </c>
      <c r="BD503">
        <f t="shared" si="399"/>
        <v>-262.27835669848054</v>
      </c>
      <c r="BF503">
        <f t="shared" si="400"/>
        <v>-46.519933023059998</v>
      </c>
      <c r="BG503">
        <f t="shared" si="401"/>
        <v>-172.87895288110761</v>
      </c>
      <c r="BH503">
        <f t="shared" si="412"/>
        <v>7.1210471188923918</v>
      </c>
      <c r="BI503">
        <f t="shared" si="413"/>
        <v>7.1210471188923918</v>
      </c>
      <c r="BJ503">
        <f t="shared" si="402"/>
        <v>0</v>
      </c>
      <c r="BK503">
        <f t="shared" si="414"/>
        <v>0</v>
      </c>
      <c r="BM503">
        <f t="shared" si="415"/>
        <v>-49.662027100085488</v>
      </c>
      <c r="BN503">
        <f t="shared" si="403"/>
        <v>-90.6005961826271</v>
      </c>
      <c r="BQ503" s="66">
        <f t="shared" si="416"/>
        <v>20.044054877310625</v>
      </c>
    </row>
    <row r="504" spans="1:69" x14ac:dyDescent="0.2">
      <c r="A504">
        <f t="shared" si="420"/>
        <v>1450000</v>
      </c>
      <c r="B504">
        <f t="shared" si="404"/>
        <v>1450</v>
      </c>
      <c r="C504">
        <f t="shared" si="373"/>
        <v>90.200668348013963</v>
      </c>
      <c r="D504">
        <f t="shared" si="374"/>
        <v>1.5597097073259882</v>
      </c>
      <c r="F504">
        <f t="shared" si="375"/>
        <v>2.4215714268550253E-6</v>
      </c>
      <c r="G504">
        <f t="shared" si="376"/>
        <v>6.4037981223137087E-4</v>
      </c>
      <c r="H504">
        <f t="shared" si="377"/>
        <v>-3.140952270187769</v>
      </c>
      <c r="J504">
        <f t="shared" si="378"/>
        <v>15</v>
      </c>
      <c r="M504">
        <f t="shared" si="379"/>
        <v>2.3265511434136655E-3</v>
      </c>
      <c r="N504">
        <f t="shared" si="380"/>
        <v>-1.5707963250000001</v>
      </c>
      <c r="O504">
        <f t="shared" si="381"/>
        <v>429.65794090259413</v>
      </c>
      <c r="P504">
        <f t="shared" si="382"/>
        <v>1.5684688918574079</v>
      </c>
      <c r="Q504">
        <f t="shared" si="383"/>
        <v>595.28866480713486</v>
      </c>
      <c r="R504">
        <f t="shared" si="384"/>
        <v>1.5691164687202519</v>
      </c>
      <c r="S504">
        <f t="shared" si="385"/>
        <v>1.847530224503479E-2</v>
      </c>
      <c r="T504">
        <f t="shared" si="386"/>
        <v>-1.5523199733383162</v>
      </c>
      <c r="U504">
        <f t="shared" si="387"/>
        <v>0.9868285879753248</v>
      </c>
      <c r="V504">
        <f t="shared" si="388"/>
        <v>-0.16248340446866741</v>
      </c>
      <c r="X504">
        <f t="shared" si="405"/>
        <v>-28.984107360028428</v>
      </c>
      <c r="Y504">
        <f t="shared" si="389"/>
        <v>-99.079122468789436</v>
      </c>
      <c r="Z504">
        <f t="shared" si="406"/>
        <v>80.920877531210564</v>
      </c>
      <c r="AC504">
        <v>1</v>
      </c>
      <c r="AD504">
        <f t="shared" si="390"/>
        <v>429.65677718460006</v>
      </c>
      <c r="AE504">
        <f t="shared" si="391"/>
        <v>-3.9144390623548986E-3</v>
      </c>
      <c r="AF504">
        <f t="shared" si="392"/>
        <v>2.3878931573385002E-2</v>
      </c>
      <c r="AG504">
        <f t="shared" si="421"/>
        <v>17515.578694402913</v>
      </c>
      <c r="AH504">
        <f t="shared" si="422"/>
        <v>-2913.1816566975835</v>
      </c>
      <c r="AJ504">
        <f t="shared" si="393"/>
        <v>18000</v>
      </c>
      <c r="AK504">
        <f t="shared" si="394"/>
        <v>974107.34980019985</v>
      </c>
      <c r="AL504">
        <v>1</v>
      </c>
      <c r="AM504">
        <f t="shared" si="395"/>
        <v>595.28782487789999</v>
      </c>
      <c r="AN504">
        <f t="shared" si="423"/>
        <v>1636.4098132444885</v>
      </c>
      <c r="AO504">
        <f t="shared" si="424"/>
        <v>-27.488534962245971</v>
      </c>
      <c r="AQ504">
        <f t="shared" si="396"/>
        <v>1.1890605007062426E-3</v>
      </c>
      <c r="AR504">
        <f t="shared" si="397"/>
        <v>-3.4482754520481032</v>
      </c>
      <c r="AT504">
        <f t="shared" si="418"/>
        <v>-10024.625711374576</v>
      </c>
      <c r="AU504">
        <f t="shared" si="419"/>
        <v>-60402.003989565688</v>
      </c>
      <c r="AV504">
        <f t="shared" si="407"/>
        <v>-1.7352623386285129</v>
      </c>
      <c r="AW504">
        <f t="shared" si="408"/>
        <v>40893.065938701118</v>
      </c>
      <c r="AX504">
        <f t="shared" si="409"/>
        <v>-12592.869882997922</v>
      </c>
      <c r="AY504">
        <f t="shared" si="417"/>
        <v>-0.29873097463158399</v>
      </c>
      <c r="BA504">
        <f t="shared" si="398"/>
        <v>1.4309631340290163</v>
      </c>
      <c r="BB504">
        <f t="shared" si="410"/>
        <v>3.1125689030919839</v>
      </c>
      <c r="BC504">
        <f t="shared" si="411"/>
        <v>-1.4365313639969288</v>
      </c>
      <c r="BD504">
        <f t="shared" si="399"/>
        <v>-262.30718438924509</v>
      </c>
      <c r="BF504">
        <f t="shared" si="400"/>
        <v>-46.57946513493328</v>
      </c>
      <c r="BG504">
        <f t="shared" si="401"/>
        <v>-172.90570973119881</v>
      </c>
      <c r="BH504">
        <f t="shared" si="412"/>
        <v>7.0942902688011884</v>
      </c>
      <c r="BI504">
        <f t="shared" si="413"/>
        <v>7.0942902688011884</v>
      </c>
      <c r="BJ504">
        <f t="shared" si="402"/>
        <v>0</v>
      </c>
      <c r="BK504">
        <f t="shared" si="414"/>
        <v>0</v>
      </c>
      <c r="BM504">
        <f t="shared" si="415"/>
        <v>-49.692034038025255</v>
      </c>
      <c r="BN504">
        <f t="shared" si="403"/>
        <v>-90.598525341953717</v>
      </c>
      <c r="BQ504" s="66">
        <f t="shared" si="416"/>
        <v>20.014529703377121</v>
      </c>
    </row>
    <row r="505" spans="1:69" x14ac:dyDescent="0.2">
      <c r="A505">
        <f t="shared" si="420"/>
        <v>1455000</v>
      </c>
      <c r="B505">
        <f t="shared" si="404"/>
        <v>1455</v>
      </c>
      <c r="C505">
        <f t="shared" si="373"/>
        <v>90.511666972159176</v>
      </c>
      <c r="D505">
        <f t="shared" si="374"/>
        <v>1.5597478025689688</v>
      </c>
      <c r="F505">
        <f t="shared" si="375"/>
        <v>2.4049568837486825E-6</v>
      </c>
      <c r="G505">
        <f t="shared" si="376"/>
        <v>6.3817918422556384E-4</v>
      </c>
      <c r="H505">
        <f t="shared" si="377"/>
        <v>-3.1409544708157746</v>
      </c>
      <c r="J505">
        <f t="shared" si="378"/>
        <v>15</v>
      </c>
      <c r="M505">
        <f t="shared" si="379"/>
        <v>2.3185561223022784E-3</v>
      </c>
      <c r="N505">
        <f t="shared" si="380"/>
        <v>-1.5707963250000001</v>
      </c>
      <c r="O505">
        <f t="shared" si="381"/>
        <v>431.139511997314</v>
      </c>
      <c r="P505">
        <f t="shared" si="382"/>
        <v>1.5684768898868777</v>
      </c>
      <c r="Q505">
        <f t="shared" si="383"/>
        <v>597.34137855829408</v>
      </c>
      <c r="R505">
        <f t="shared" si="384"/>
        <v>1.569122241417608</v>
      </c>
      <c r="S505">
        <f t="shared" si="385"/>
        <v>1.8411834793477869E-2</v>
      </c>
      <c r="T505">
        <f t="shared" si="386"/>
        <v>-1.5523834515873485</v>
      </c>
      <c r="U505">
        <f t="shared" si="387"/>
        <v>0.98673939601340577</v>
      </c>
      <c r="V505">
        <f t="shared" si="388"/>
        <v>-0.16303383290178314</v>
      </c>
      <c r="X505">
        <f t="shared" si="405"/>
        <v>-29.014786139276065</v>
      </c>
      <c r="Y505">
        <f t="shared" si="389"/>
        <v>-99.111451116255097</v>
      </c>
      <c r="Z505">
        <f t="shared" si="406"/>
        <v>80.888548883744903</v>
      </c>
      <c r="AC505">
        <v>1</v>
      </c>
      <c r="AD505">
        <f t="shared" si="390"/>
        <v>431.13835227834005</v>
      </c>
      <c r="AE505">
        <f t="shared" si="391"/>
        <v>-3.9414817388736647E-3</v>
      </c>
      <c r="AF505">
        <f t="shared" si="392"/>
        <v>2.3961272716741498E-2</v>
      </c>
      <c r="AG505">
        <f t="shared" si="421"/>
        <v>17512.412636493733</v>
      </c>
      <c r="AH505">
        <f t="shared" si="422"/>
        <v>-2922.4179966632068</v>
      </c>
      <c r="AJ505">
        <f t="shared" si="393"/>
        <v>18000</v>
      </c>
      <c r="AK505">
        <f t="shared" si="394"/>
        <v>977466.34066157998</v>
      </c>
      <c r="AL505">
        <v>1</v>
      </c>
      <c r="AM505">
        <f t="shared" si="395"/>
        <v>597.34054151541</v>
      </c>
      <c r="AN505">
        <f t="shared" si="423"/>
        <v>1636.409496423802</v>
      </c>
      <c r="AO505">
        <f t="shared" si="424"/>
        <v>-27.394073173173453</v>
      </c>
      <c r="AQ505">
        <f t="shared" si="396"/>
        <v>1.1809023061959227E-3</v>
      </c>
      <c r="AR505">
        <f t="shared" si="397"/>
        <v>-3.4364257110301355</v>
      </c>
      <c r="AT505">
        <f t="shared" si="418"/>
        <v>-10021.991893641136</v>
      </c>
      <c r="AU505">
        <f t="shared" si="419"/>
        <v>-60183.556136368039</v>
      </c>
      <c r="AV505">
        <f t="shared" si="407"/>
        <v>-1.7358059540065416</v>
      </c>
      <c r="AW505">
        <f t="shared" si="408"/>
        <v>40886.591564400333</v>
      </c>
      <c r="AX505">
        <f t="shared" si="409"/>
        <v>-12592.834200045649</v>
      </c>
      <c r="AY505">
        <f t="shared" si="417"/>
        <v>-0.29877471635812258</v>
      </c>
      <c r="BA505">
        <f t="shared" si="398"/>
        <v>1.4261234012183275</v>
      </c>
      <c r="BB505">
        <f t="shared" si="410"/>
        <v>3.0831421253163467</v>
      </c>
      <c r="BC505">
        <f t="shared" si="411"/>
        <v>-1.4370312376484189</v>
      </c>
      <c r="BD505">
        <f t="shared" si="399"/>
        <v>-262.33582503979801</v>
      </c>
      <c r="BF505">
        <f t="shared" si="400"/>
        <v>-46.638795530073594</v>
      </c>
      <c r="BG505">
        <f t="shared" si="401"/>
        <v>-172.93229377180404</v>
      </c>
      <c r="BH505">
        <f t="shared" si="412"/>
        <v>7.0677062281959593</v>
      </c>
      <c r="BI505">
        <f t="shared" si="413"/>
        <v>7.0677062281959593</v>
      </c>
      <c r="BJ505">
        <f t="shared" si="402"/>
        <v>0</v>
      </c>
      <c r="BK505">
        <f t="shared" si="414"/>
        <v>0</v>
      </c>
      <c r="BM505">
        <f t="shared" si="415"/>
        <v>-49.721937655389937</v>
      </c>
      <c r="BN505">
        <f t="shared" si="403"/>
        <v>-90.596468732006059</v>
      </c>
      <c r="BQ505" s="66">
        <f t="shared" si="416"/>
        <v>19.985102925601485</v>
      </c>
    </row>
    <row r="506" spans="1:69" x14ac:dyDescent="0.2">
      <c r="A506">
        <f t="shared" si="420"/>
        <v>1460000</v>
      </c>
      <c r="B506">
        <f t="shared" si="404"/>
        <v>1460</v>
      </c>
      <c r="C506">
        <f t="shared" si="373"/>
        <v>90.822665726759624</v>
      </c>
      <c r="D506">
        <f t="shared" si="374"/>
        <v>1.5597856369173688</v>
      </c>
      <c r="F506">
        <f t="shared" si="375"/>
        <v>2.388512746047524E-6</v>
      </c>
      <c r="G506">
        <f t="shared" si="376"/>
        <v>6.3599362911749438E-4</v>
      </c>
      <c r="H506">
        <f t="shared" si="377"/>
        <v>-3.1409566563708826</v>
      </c>
      <c r="J506">
        <f t="shared" si="378"/>
        <v>15</v>
      </c>
      <c r="M506">
        <f t="shared" si="379"/>
        <v>2.3106158616094624E-3</v>
      </c>
      <c r="N506">
        <f t="shared" si="380"/>
        <v>-1.5707963250000001</v>
      </c>
      <c r="O506">
        <f t="shared" si="381"/>
        <v>432.62108311942427</v>
      </c>
      <c r="P506">
        <f t="shared" si="382"/>
        <v>1.5684848331356174</v>
      </c>
      <c r="Q506">
        <f t="shared" si="383"/>
        <v>599.39409232922287</v>
      </c>
      <c r="R506">
        <f t="shared" si="384"/>
        <v>1.5691279745760516</v>
      </c>
      <c r="S506">
        <f t="shared" si="385"/>
        <v>1.8348801830201669E-2</v>
      </c>
      <c r="T506">
        <f t="shared" si="386"/>
        <v>-1.5524464952007389</v>
      </c>
      <c r="U506">
        <f t="shared" si="387"/>
        <v>0.98664992132712792</v>
      </c>
      <c r="V506">
        <f t="shared" si="388"/>
        <v>-0.16358416167907788</v>
      </c>
      <c r="X506">
        <f t="shared" si="405"/>
        <v>-29.045364968790956</v>
      </c>
      <c r="Y506">
        <f t="shared" si="389"/>
        <v>-99.143768639737246</v>
      </c>
      <c r="Z506">
        <f t="shared" si="406"/>
        <v>80.856231360262754</v>
      </c>
      <c r="AC506">
        <v>1</v>
      </c>
      <c r="AD506">
        <f t="shared" si="390"/>
        <v>432.61992737208004</v>
      </c>
      <c r="AE506">
        <f t="shared" si="391"/>
        <v>-3.9686175055009282E-3</v>
      </c>
      <c r="AF506">
        <f t="shared" si="392"/>
        <v>2.4043613860098002E-2</v>
      </c>
      <c r="AG506">
        <f t="shared" si="421"/>
        <v>17509.236830214668</v>
      </c>
      <c r="AH506">
        <f t="shared" si="422"/>
        <v>-2931.6501338981416</v>
      </c>
      <c r="AJ506">
        <f t="shared" si="393"/>
        <v>18000</v>
      </c>
      <c r="AK506">
        <f t="shared" si="394"/>
        <v>980825.33152295998</v>
      </c>
      <c r="AL506">
        <v>1</v>
      </c>
      <c r="AM506">
        <f t="shared" si="395"/>
        <v>599.39325815292</v>
      </c>
      <c r="AN506">
        <f t="shared" si="423"/>
        <v>1636.4091828525331</v>
      </c>
      <c r="AO506">
        <f t="shared" si="424"/>
        <v>-27.300258377235053</v>
      </c>
      <c r="AQ506">
        <f t="shared" si="396"/>
        <v>1.1728277851346658E-3</v>
      </c>
      <c r="AR506">
        <f t="shared" si="397"/>
        <v>-3.4246571325932242</v>
      </c>
      <c r="AT506">
        <f t="shared" si="418"/>
        <v>-10019.361221871173</v>
      </c>
      <c r="AU506">
        <f t="shared" si="419"/>
        <v>-59966.571117591971</v>
      </c>
      <c r="AV506">
        <f t="shared" si="407"/>
        <v>-1.7363495163932174</v>
      </c>
      <c r="AW506">
        <f t="shared" si="408"/>
        <v>40880.088742660897</v>
      </c>
      <c r="AX506">
        <f t="shared" si="409"/>
        <v>-12592.931456244976</v>
      </c>
      <c r="AY506">
        <f t="shared" si="417"/>
        <v>-0.2988216366355958</v>
      </c>
      <c r="BA506">
        <f t="shared" si="398"/>
        <v>1.4213160329141632</v>
      </c>
      <c r="BB506">
        <f t="shared" si="410"/>
        <v>3.0538131009915039</v>
      </c>
      <c r="BC506">
        <f t="shared" si="411"/>
        <v>-1.4375278797576216</v>
      </c>
      <c r="BD506">
        <f t="shared" si="399"/>
        <v>-262.36428053661632</v>
      </c>
      <c r="BF506">
        <f t="shared" si="400"/>
        <v>-46.697925560348011</v>
      </c>
      <c r="BG506">
        <f t="shared" si="401"/>
        <v>-172.95870674321966</v>
      </c>
      <c r="BH506">
        <f t="shared" si="412"/>
        <v>7.0412932567803352</v>
      </c>
      <c r="BI506">
        <f t="shared" si="413"/>
        <v>7.0412932567803352</v>
      </c>
      <c r="BJ506">
        <f t="shared" si="402"/>
        <v>0</v>
      </c>
      <c r="BK506">
        <f t="shared" si="414"/>
        <v>0</v>
      </c>
      <c r="BM506">
        <f t="shared" si="415"/>
        <v>-49.751738661339509</v>
      </c>
      <c r="BN506">
        <f t="shared" si="403"/>
        <v>-90.594426206603345</v>
      </c>
      <c r="BQ506" s="66">
        <f t="shared" si="416"/>
        <v>19.95577390127664</v>
      </c>
    </row>
    <row r="507" spans="1:69" x14ac:dyDescent="0.2">
      <c r="A507">
        <f t="shared" si="420"/>
        <v>1465000</v>
      </c>
      <c r="B507">
        <f t="shared" si="404"/>
        <v>1465</v>
      </c>
      <c r="C507">
        <f t="shared" si="373"/>
        <v>91.133664610479784</v>
      </c>
      <c r="D507">
        <f t="shared" si="374"/>
        <v>1.5598232130420326</v>
      </c>
      <c r="F507">
        <f t="shared" si="375"/>
        <v>2.3722366913638169E-6</v>
      </c>
      <c r="G507">
        <f t="shared" si="376"/>
        <v>6.3382299257575003E-4</v>
      </c>
      <c r="H507">
        <f t="shared" si="377"/>
        <v>-3.1409588270074247</v>
      </c>
      <c r="J507">
        <f t="shared" si="378"/>
        <v>15</v>
      </c>
      <c r="M507">
        <f t="shared" si="379"/>
        <v>2.3027298006483383E-3</v>
      </c>
      <c r="N507">
        <f t="shared" si="380"/>
        <v>-1.5707963250000001</v>
      </c>
      <c r="O507">
        <f t="shared" si="381"/>
        <v>434.10265426864459</v>
      </c>
      <c r="P507">
        <f t="shared" si="382"/>
        <v>1.568492722164518</v>
      </c>
      <c r="Q507">
        <f t="shared" si="383"/>
        <v>601.44680611971876</v>
      </c>
      <c r="R507">
        <f t="shared" si="384"/>
        <v>1.5691336686004165</v>
      </c>
      <c r="S507">
        <f t="shared" si="385"/>
        <v>1.8286198909511477E-2</v>
      </c>
      <c r="T507">
        <f t="shared" si="386"/>
        <v>-1.5525091086266878</v>
      </c>
      <c r="U507">
        <f t="shared" si="387"/>
        <v>0.98656016415596282</v>
      </c>
      <c r="V507">
        <f t="shared" si="388"/>
        <v>-0.16413439049435699</v>
      </c>
      <c r="X507">
        <f t="shared" si="405"/>
        <v>-29.07584454765097</v>
      </c>
      <c r="Y507">
        <f t="shared" si="389"/>
        <v>-99.176075077037879</v>
      </c>
      <c r="Z507">
        <f t="shared" si="406"/>
        <v>80.823924922962121</v>
      </c>
      <c r="AC507">
        <v>1</v>
      </c>
      <c r="AD507">
        <f t="shared" si="390"/>
        <v>434.10150246582003</v>
      </c>
      <c r="AE507">
        <f t="shared" si="391"/>
        <v>-3.9958463622366911E-3</v>
      </c>
      <c r="AF507">
        <f t="shared" si="392"/>
        <v>2.4125955003454502E-2</v>
      </c>
      <c r="AG507">
        <f t="shared" si="421"/>
        <v>17506.0512867943</v>
      </c>
      <c r="AH507">
        <f t="shared" si="422"/>
        <v>-2940.8780436383422</v>
      </c>
      <c r="AJ507">
        <f t="shared" si="393"/>
        <v>18000</v>
      </c>
      <c r="AK507">
        <f t="shared" si="394"/>
        <v>984184.32238433999</v>
      </c>
      <c r="AL507">
        <v>1</v>
      </c>
      <c r="AM507">
        <f t="shared" si="395"/>
        <v>601.44597479043</v>
      </c>
      <c r="AN507">
        <f t="shared" si="423"/>
        <v>1636.408872486398</v>
      </c>
      <c r="AO507">
        <f t="shared" si="424"/>
        <v>-27.207083950001312</v>
      </c>
      <c r="AQ507">
        <f t="shared" si="396"/>
        <v>1.1648357971745975E-3</v>
      </c>
      <c r="AR507">
        <f t="shared" si="397"/>
        <v>-3.412968885721571</v>
      </c>
      <c r="AT507">
        <f t="shared" si="418"/>
        <v>-10016.733584433354</v>
      </c>
      <c r="AU507">
        <f t="shared" si="419"/>
        <v>-59751.033993695368</v>
      </c>
      <c r="AV507">
        <f t="shared" si="407"/>
        <v>-1.7368930250045562</v>
      </c>
      <c r="AW507">
        <f t="shared" si="408"/>
        <v>40873.557587936441</v>
      </c>
      <c r="AX507">
        <f t="shared" si="409"/>
        <v>-12593.160137956078</v>
      </c>
      <c r="AY507">
        <f t="shared" si="417"/>
        <v>-0.29887170219404596</v>
      </c>
      <c r="BA507">
        <f t="shared" si="398"/>
        <v>1.4165407081815422</v>
      </c>
      <c r="BB507">
        <f t="shared" si="410"/>
        <v>3.0245811935721489</v>
      </c>
      <c r="BC507">
        <f t="shared" si="411"/>
        <v>-1.4380213228105103</v>
      </c>
      <c r="BD507">
        <f t="shared" si="399"/>
        <v>-262.39255274100918</v>
      </c>
      <c r="BF507">
        <f t="shared" si="400"/>
        <v>-46.756856564184702</v>
      </c>
      <c r="BG507">
        <f t="shared" si="401"/>
        <v>-172.98495036256924</v>
      </c>
      <c r="BH507">
        <f t="shared" si="412"/>
        <v>7.0150496374307636</v>
      </c>
      <c r="BI507">
        <f t="shared" si="413"/>
        <v>7.0150496374307636</v>
      </c>
      <c r="BJ507">
        <f t="shared" si="402"/>
        <v>0</v>
      </c>
      <c r="BK507">
        <f t="shared" si="414"/>
        <v>0</v>
      </c>
      <c r="BM507">
        <f t="shared" si="415"/>
        <v>-49.781437757756848</v>
      </c>
      <c r="BN507">
        <f t="shared" si="403"/>
        <v>-90.592397621560053</v>
      </c>
      <c r="BQ507" s="66">
        <f t="shared" si="416"/>
        <v>19.926541993857285</v>
      </c>
    </row>
    <row r="508" spans="1:69" x14ac:dyDescent="0.2">
      <c r="A508">
        <f t="shared" si="420"/>
        <v>1470000</v>
      </c>
      <c r="B508">
        <f t="shared" si="404"/>
        <v>1470</v>
      </c>
      <c r="C508">
        <f t="shared" si="373"/>
        <v>91.444663622002253</v>
      </c>
      <c r="D508">
        <f t="shared" si="374"/>
        <v>1.559860533577474</v>
      </c>
      <c r="F508">
        <f t="shared" si="375"/>
        <v>2.3561264367391065E-6</v>
      </c>
      <c r="G508">
        <f t="shared" si="376"/>
        <v>6.3166712236868944E-4</v>
      </c>
      <c r="H508">
        <f t="shared" si="377"/>
        <v>-3.1409609828776315</v>
      </c>
      <c r="J508">
        <f t="shared" si="378"/>
        <v>15</v>
      </c>
      <c r="M508">
        <f t="shared" si="379"/>
        <v>2.2948973863604187E-3</v>
      </c>
      <c r="N508">
        <f t="shared" si="380"/>
        <v>-1.5707963250000001</v>
      </c>
      <c r="O508">
        <f t="shared" si="381"/>
        <v>435.58422544469823</v>
      </c>
      <c r="P508">
        <f t="shared" si="382"/>
        <v>1.5685005575268389</v>
      </c>
      <c r="Q508">
        <f t="shared" si="383"/>
        <v>603.49951992958199</v>
      </c>
      <c r="R508">
        <f t="shared" si="384"/>
        <v>1.5691393238900284</v>
      </c>
      <c r="S508">
        <f t="shared" si="385"/>
        <v>1.8224021646147639E-2</v>
      </c>
      <c r="T508">
        <f t="shared" si="386"/>
        <v>-1.5525712962529088</v>
      </c>
      <c r="U508">
        <f t="shared" si="387"/>
        <v>0.98647012474002038</v>
      </c>
      <c r="V508">
        <f t="shared" si="388"/>
        <v>-0.16468451904177922</v>
      </c>
      <c r="X508">
        <f t="shared" si="405"/>
        <v>-29.106225567775645</v>
      </c>
      <c r="Y508">
        <f t="shared" si="389"/>
        <v>-99.208370465227574</v>
      </c>
      <c r="Z508">
        <f t="shared" si="406"/>
        <v>80.791629534772426</v>
      </c>
      <c r="AC508">
        <v>1</v>
      </c>
      <c r="AD508">
        <f t="shared" si="390"/>
        <v>435.58307755956008</v>
      </c>
      <c r="AE508">
        <f t="shared" si="391"/>
        <v>-4.0231683090809515E-3</v>
      </c>
      <c r="AF508">
        <f t="shared" si="392"/>
        <v>2.4208296146811002E-2</v>
      </c>
      <c r="AG508">
        <f t="shared" si="421"/>
        <v>17502.856017489376</v>
      </c>
      <c r="AH508">
        <f t="shared" si="422"/>
        <v>-2950.1017012871416</v>
      </c>
      <c r="AJ508">
        <f t="shared" si="393"/>
        <v>18000</v>
      </c>
      <c r="AK508">
        <f t="shared" si="394"/>
        <v>987543.31324572</v>
      </c>
      <c r="AL508">
        <v>1</v>
      </c>
      <c r="AM508">
        <f t="shared" si="395"/>
        <v>603.49869142794</v>
      </c>
      <c r="AN508">
        <f t="shared" si="423"/>
        <v>1636.4085652818633</v>
      </c>
      <c r="AO508">
        <f t="shared" si="424"/>
        <v>-27.114543357169833</v>
      </c>
      <c r="AQ508">
        <f t="shared" si="396"/>
        <v>1.1569252213284719E-3</v>
      </c>
      <c r="AR508">
        <f t="shared" si="397"/>
        <v>-3.401360150705707</v>
      </c>
      <c r="AT508">
        <f t="shared" si="418"/>
        <v>-10014.10887171528</v>
      </c>
      <c r="AU508">
        <f t="shared" si="419"/>
        <v>-59536.930028491654</v>
      </c>
      <c r="AV508">
        <f t="shared" si="407"/>
        <v>-1.7374364790634287</v>
      </c>
      <c r="AW508">
        <f t="shared" si="408"/>
        <v>40866.998213228922</v>
      </c>
      <c r="AX508">
        <f t="shared" si="409"/>
        <v>-12593.518751755038</v>
      </c>
      <c r="AY508">
        <f t="shared" si="417"/>
        <v>-0.29892488020236491</v>
      </c>
      <c r="BA508">
        <f t="shared" si="398"/>
        <v>1.4117971102792699</v>
      </c>
      <c r="BB508">
        <f t="shared" si="410"/>
        <v>2.995445772597864</v>
      </c>
      <c r="BC508">
        <f t="shared" si="411"/>
        <v>-1.4385115988610637</v>
      </c>
      <c r="BD508">
        <f t="shared" si="399"/>
        <v>-262.42064348953431</v>
      </c>
      <c r="BF508">
        <f t="shared" si="400"/>
        <v>-46.815589866749065</v>
      </c>
      <c r="BG508">
        <f t="shared" si="401"/>
        <v>-173.01102632418616</v>
      </c>
      <c r="BH508">
        <f t="shared" si="412"/>
        <v>6.9889736758138383</v>
      </c>
      <c r="BI508">
        <f t="shared" si="413"/>
        <v>6.9889736758138383</v>
      </c>
      <c r="BJ508">
        <f t="shared" si="402"/>
        <v>0</v>
      </c>
      <c r="BK508">
        <f t="shared" si="414"/>
        <v>0</v>
      </c>
      <c r="BM508">
        <f t="shared" si="415"/>
        <v>-49.811035639346919</v>
      </c>
      <c r="BN508">
        <f t="shared" si="403"/>
        <v>-90.590382834651834</v>
      </c>
      <c r="BQ508" s="66">
        <f t="shared" si="416"/>
        <v>19.897406572883</v>
      </c>
    </row>
    <row r="509" spans="1:69" x14ac:dyDescent="0.2">
      <c r="A509">
        <f t="shared" si="420"/>
        <v>1475000</v>
      </c>
      <c r="B509">
        <f t="shared" si="404"/>
        <v>1475</v>
      </c>
      <c r="C509">
        <f t="shared" si="373"/>
        <v>91.755662760027477</v>
      </c>
      <c r="D509">
        <f t="shared" si="374"/>
        <v>1.5598976011224919</v>
      </c>
      <c r="F509">
        <f t="shared" si="375"/>
        <v>2.3401797378436217E-6</v>
      </c>
      <c r="G509">
        <f t="shared" si="376"/>
        <v>6.2952586832885199E-4</v>
      </c>
      <c r="H509">
        <f t="shared" si="377"/>
        <v>-3.1409631241316713</v>
      </c>
      <c r="J509">
        <f t="shared" si="378"/>
        <v>15</v>
      </c>
      <c r="M509">
        <f t="shared" si="379"/>
        <v>2.2871180731863154E-3</v>
      </c>
      <c r="N509">
        <f t="shared" si="380"/>
        <v>-1.5707963250000001</v>
      </c>
      <c r="O509">
        <f t="shared" si="381"/>
        <v>437.06579664731242</v>
      </c>
      <c r="P509">
        <f t="shared" si="382"/>
        <v>1.5685083397683386</v>
      </c>
      <c r="Q509">
        <f t="shared" si="383"/>
        <v>605.55223375861567</v>
      </c>
      <c r="R509">
        <f t="shared" si="384"/>
        <v>1.5691449408387987</v>
      </c>
      <c r="S509">
        <f t="shared" si="385"/>
        <v>1.8162265714262268E-2</v>
      </c>
      <c r="T509">
        <f t="shared" si="386"/>
        <v>-1.5526330624076545</v>
      </c>
      <c r="U509">
        <f t="shared" si="387"/>
        <v>0.98637980332004693</v>
      </c>
      <c r="V509">
        <f t="shared" si="388"/>
        <v>-0.16523454701585752</v>
      </c>
      <c r="X509">
        <f t="shared" si="405"/>
        <v>-29.136508714023254</v>
      </c>
      <c r="Y509">
        <f t="shared" si="389"/>
        <v>-99.240654840658522</v>
      </c>
      <c r="Z509">
        <f t="shared" si="406"/>
        <v>80.759345159341478</v>
      </c>
      <c r="AC509">
        <v>1</v>
      </c>
      <c r="AD509">
        <f t="shared" si="390"/>
        <v>437.06465265330007</v>
      </c>
      <c r="AE509">
        <f t="shared" si="391"/>
        <v>-4.0505833460337112E-3</v>
      </c>
      <c r="AF509">
        <f t="shared" si="392"/>
        <v>2.4290637290167501E-2</v>
      </c>
      <c r="AG509">
        <f t="shared" si="421"/>
        <v>17499.651033584734</v>
      </c>
      <c r="AH509">
        <f t="shared" si="422"/>
        <v>-2959.3210824129947</v>
      </c>
      <c r="AJ509">
        <f t="shared" si="393"/>
        <v>18000</v>
      </c>
      <c r="AK509">
        <f t="shared" si="394"/>
        <v>990902.30410709989</v>
      </c>
      <c r="AL509">
        <v>1</v>
      </c>
      <c r="AM509">
        <f t="shared" si="395"/>
        <v>605.55140806545</v>
      </c>
      <c r="AN509">
        <f t="shared" si="423"/>
        <v>1636.4082611961328</v>
      </c>
      <c r="AO509">
        <f t="shared" si="424"/>
        <v>-27.022630153037696</v>
      </c>
      <c r="AQ509">
        <f t="shared" si="396"/>
        <v>1.1490949555765637E-3</v>
      </c>
      <c r="AR509">
        <f t="shared" si="397"/>
        <v>-3.3898301189508624</v>
      </c>
      <c r="AT509">
        <f t="shared" si="418"/>
        <v>-10011.486976082795</v>
      </c>
      <c r="AU509">
        <f t="shared" si="419"/>
        <v>-59324.244685702855</v>
      </c>
      <c r="AV509">
        <f t="shared" si="407"/>
        <v>-1.7379798777994488</v>
      </c>
      <c r="AW509">
        <f t="shared" si="408"/>
        <v>40860.410730119351</v>
      </c>
      <c r="AX509">
        <f t="shared" si="409"/>
        <v>-12594.005824092465</v>
      </c>
      <c r="AY509">
        <f t="shared" si="417"/>
        <v>-0.29898113826105976</v>
      </c>
      <c r="BA509">
        <f t="shared" si="398"/>
        <v>1.407084926592254</v>
      </c>
      <c r="BB509">
        <f t="shared" si="410"/>
        <v>2.966406213617347</v>
      </c>
      <c r="BC509">
        <f t="shared" si="411"/>
        <v>-1.438998739538389</v>
      </c>
      <c r="BD509">
        <f t="shared" si="399"/>
        <v>-262.44855459440612</v>
      </c>
      <c r="BF509">
        <f t="shared" si="400"/>
        <v>-46.874126780117045</v>
      </c>
      <c r="BG509">
        <f t="shared" si="401"/>
        <v>-173.03693629998855</v>
      </c>
      <c r="BH509">
        <f t="shared" si="412"/>
        <v>6.9630637000114461</v>
      </c>
      <c r="BI509">
        <f t="shared" si="413"/>
        <v>6.9630637000114461</v>
      </c>
      <c r="BJ509">
        <f t="shared" si="402"/>
        <v>0</v>
      </c>
      <c r="BK509">
        <f t="shared" si="414"/>
        <v>0</v>
      </c>
      <c r="BM509">
        <f t="shared" si="415"/>
        <v>-49.840532993734392</v>
      </c>
      <c r="BN509">
        <f t="shared" si="403"/>
        <v>-90.588381705582449</v>
      </c>
      <c r="BQ509" s="66">
        <f t="shared" si="416"/>
        <v>19.868367013902485</v>
      </c>
    </row>
    <row r="510" spans="1:69" x14ac:dyDescent="0.2">
      <c r="A510">
        <f t="shared" si="420"/>
        <v>1480000</v>
      </c>
      <c r="B510">
        <f t="shared" si="404"/>
        <v>1480</v>
      </c>
      <c r="C510">
        <f t="shared" si="373"/>
        <v>92.066662023273523</v>
      </c>
      <c r="D510">
        <f t="shared" si="374"/>
        <v>1.5599344182407726</v>
      </c>
      <c r="F510">
        <f t="shared" si="375"/>
        <v>2.3243943881945818E-6</v>
      </c>
      <c r="G510">
        <f t="shared" si="376"/>
        <v>6.2739908231808979E-4</v>
      </c>
      <c r="H510">
        <f t="shared" si="377"/>
        <v>-3.1409652509176822</v>
      </c>
      <c r="J510">
        <f t="shared" si="378"/>
        <v>15</v>
      </c>
      <c r="M510">
        <f t="shared" si="379"/>
        <v>2.2793913229390643E-3</v>
      </c>
      <c r="N510">
        <f t="shared" si="380"/>
        <v>-1.5707963250000001</v>
      </c>
      <c r="O510">
        <f t="shared" si="381"/>
        <v>438.54736787621783</v>
      </c>
      <c r="P510">
        <f t="shared" si="382"/>
        <v>1.5685160694273996</v>
      </c>
      <c r="Q510">
        <f t="shared" si="383"/>
        <v>607.6049476066255</v>
      </c>
      <c r="R510">
        <f t="shared" si="384"/>
        <v>1.5691505198353155</v>
      </c>
      <c r="S510">
        <f t="shared" si="385"/>
        <v>1.8100926846416662E-2</v>
      </c>
      <c r="T510">
        <f t="shared" si="386"/>
        <v>-1.5526944113607195</v>
      </c>
      <c r="U510">
        <f t="shared" si="387"/>
        <v>0.98628920013742394</v>
      </c>
      <c r="V510">
        <f t="shared" si="388"/>
        <v>-0.16578447411145997</v>
      </c>
      <c r="X510">
        <f t="shared" si="405"/>
        <v>-29.166694664286243</v>
      </c>
      <c r="Y510">
        <f t="shared" si="389"/>
        <v>-99.272928238976903</v>
      </c>
      <c r="Z510">
        <f t="shared" si="406"/>
        <v>80.727071761023097</v>
      </c>
      <c r="AC510">
        <v>1</v>
      </c>
      <c r="AD510">
        <f t="shared" si="390"/>
        <v>438.54622774704006</v>
      </c>
      <c r="AE510">
        <f t="shared" si="391"/>
        <v>-4.0780914730949684E-3</v>
      </c>
      <c r="AF510">
        <f t="shared" si="392"/>
        <v>2.4372978433524001E-2</v>
      </c>
      <c r="AG510">
        <f t="shared" si="421"/>
        <v>17496.43634639318</v>
      </c>
      <c r="AH510">
        <f t="shared" si="422"/>
        <v>-2968.5361627472539</v>
      </c>
      <c r="AJ510">
        <f t="shared" si="393"/>
        <v>18000</v>
      </c>
      <c r="AK510">
        <f t="shared" si="394"/>
        <v>994261.2949684799</v>
      </c>
      <c r="AL510">
        <v>1</v>
      </c>
      <c r="AM510">
        <f t="shared" si="395"/>
        <v>607.60412470296001</v>
      </c>
      <c r="AN510">
        <f t="shared" si="423"/>
        <v>1636.4079601871329</v>
      </c>
      <c r="AO510">
        <f t="shared" si="424"/>
        <v>-26.931337979004923</v>
      </c>
      <c r="AQ510">
        <f t="shared" si="396"/>
        <v>1.1413439164828438E-3</v>
      </c>
      <c r="AR510">
        <f t="shared" si="397"/>
        <v>-3.3783779927892175</v>
      </c>
      <c r="AT510">
        <f t="shared" si="418"/>
        <v>-10008.86779184019</v>
      </c>
      <c r="AU510">
        <f t="shared" si="419"/>
        <v>-59112.963625582313</v>
      </c>
      <c r="AV510">
        <f t="shared" si="407"/>
        <v>-1.7385232204488685</v>
      </c>
      <c r="AW510">
        <f t="shared" si="408"/>
        <v>40853.795248797425</v>
      </c>
      <c r="AX510">
        <f t="shared" si="409"/>
        <v>-12594.619900958976</v>
      </c>
      <c r="AY510">
        <f t="shared" si="417"/>
        <v>-0.29904044439516275</v>
      </c>
      <c r="BA510">
        <f t="shared" si="398"/>
        <v>1.4024038485651249</v>
      </c>
      <c r="BB510">
        <f t="shared" si="410"/>
        <v>2.9374618981138516</v>
      </c>
      <c r="BC510">
        <f t="shared" si="411"/>
        <v>-1.4394827760537057</v>
      </c>
      <c r="BD510">
        <f t="shared" si="399"/>
        <v>-262.4762878438957</v>
      </c>
      <c r="BF510">
        <f t="shared" si="400"/>
        <v>-46.932468603445642</v>
      </c>
      <c r="BG510">
        <f t="shared" si="401"/>
        <v>-173.0626819398469</v>
      </c>
      <c r="BH510">
        <f t="shared" si="412"/>
        <v>6.9373180601531033</v>
      </c>
      <c r="BI510">
        <f t="shared" si="413"/>
        <v>6.9373180601531033</v>
      </c>
      <c r="BJ510">
        <f t="shared" si="402"/>
        <v>0</v>
      </c>
      <c r="BK510">
        <f t="shared" si="414"/>
        <v>0</v>
      </c>
      <c r="BM510">
        <f t="shared" si="415"/>
        <v>-49.869930501559487</v>
      </c>
      <c r="BN510">
        <f t="shared" si="403"/>
        <v>-90.586394095951221</v>
      </c>
      <c r="BQ510" s="66">
        <f t="shared" si="416"/>
        <v>19.839422698398987</v>
      </c>
    </row>
    <row r="511" spans="1:69" x14ac:dyDescent="0.2">
      <c r="A511">
        <f t="shared" si="420"/>
        <v>1485000</v>
      </c>
      <c r="B511">
        <f t="shared" si="404"/>
        <v>1485</v>
      </c>
      <c r="C511">
        <f t="shared" si="373"/>
        <v>92.377661410475653</v>
      </c>
      <c r="D511">
        <f t="shared" si="374"/>
        <v>1.5599709874614824</v>
      </c>
      <c r="F511">
        <f t="shared" si="375"/>
        <v>2.308768218392897E-6</v>
      </c>
      <c r="G511">
        <f t="shared" si="376"/>
        <v>6.2528661819340366E-4</v>
      </c>
      <c r="H511">
        <f t="shared" si="377"/>
        <v>-3.1409673633818067</v>
      </c>
      <c r="J511">
        <f t="shared" si="378"/>
        <v>15</v>
      </c>
      <c r="M511">
        <f t="shared" si="379"/>
        <v>2.2717166046800101E-3</v>
      </c>
      <c r="N511">
        <f t="shared" si="380"/>
        <v>-1.5707963250000001</v>
      </c>
      <c r="O511">
        <f t="shared" si="381"/>
        <v>440.028939131149</v>
      </c>
      <c r="P511">
        <f t="shared" si="382"/>
        <v>1.5685237470351543</v>
      </c>
      <c r="Q511">
        <f t="shared" si="383"/>
        <v>609.65766147341981</v>
      </c>
      <c r="R511">
        <f t="shared" si="384"/>
        <v>1.5691560612629336</v>
      </c>
      <c r="S511">
        <f t="shared" si="385"/>
        <v>1.8040000832598952E-2</v>
      </c>
      <c r="T511">
        <f t="shared" si="386"/>
        <v>-1.5527553473244244</v>
      </c>
      <c r="U511">
        <f t="shared" si="387"/>
        <v>0.9861983154341657</v>
      </c>
      <c r="V511">
        <f t="shared" si="388"/>
        <v>-0.16633430002381064</v>
      </c>
      <c r="X511">
        <f t="shared" si="405"/>
        <v>-29.19678408958508</v>
      </c>
      <c r="Y511">
        <f t="shared" si="389"/>
        <v>-99.30519069513511</v>
      </c>
      <c r="Z511">
        <f t="shared" si="406"/>
        <v>80.69480930486489</v>
      </c>
      <c r="AC511">
        <v>1</v>
      </c>
      <c r="AD511">
        <f t="shared" si="390"/>
        <v>440.02780284078005</v>
      </c>
      <c r="AE511">
        <f t="shared" si="391"/>
        <v>-4.105692690264724E-3</v>
      </c>
      <c r="AF511">
        <f t="shared" si="392"/>
        <v>2.4455319576880501E-2</v>
      </c>
      <c r="AG511">
        <f t="shared" si="421"/>
        <v>17493.211967255425</v>
      </c>
      <c r="AH511">
        <f t="shared" si="422"/>
        <v>-2977.7469181820065</v>
      </c>
      <c r="AJ511">
        <f t="shared" si="393"/>
        <v>18000</v>
      </c>
      <c r="AK511">
        <f t="shared" si="394"/>
        <v>997620.2858298599</v>
      </c>
      <c r="AL511">
        <v>1</v>
      </c>
      <c r="AM511">
        <f t="shared" si="395"/>
        <v>609.65684134047001</v>
      </c>
      <c r="AN511">
        <f t="shared" si="423"/>
        <v>1636.4076622134949</v>
      </c>
      <c r="AO511">
        <f t="shared" si="424"/>
        <v>-26.840660562108031</v>
      </c>
      <c r="AQ511">
        <f t="shared" si="396"/>
        <v>1.133671038820184E-3</v>
      </c>
      <c r="AR511">
        <f t="shared" si="397"/>
        <v>-3.3670029852959464</v>
      </c>
      <c r="AT511">
        <f t="shared" si="418"/>
        <v>-10006.2512151914</v>
      </c>
      <c r="AU511">
        <f t="shared" si="419"/>
        <v>-58903.072701605866</v>
      </c>
      <c r="AV511">
        <f t="shared" si="407"/>
        <v>-1.7390665062544726</v>
      </c>
      <c r="AW511">
        <f t="shared" si="408"/>
        <v>40847.15187809075</v>
      </c>
      <c r="AX511">
        <f t="shared" si="409"/>
        <v>-12595.359547557473</v>
      </c>
      <c r="AY511">
        <f t="shared" si="417"/>
        <v>-0.29910276704727801</v>
      </c>
      <c r="BA511">
        <f t="shared" si="398"/>
        <v>1.3977535716371132</v>
      </c>
      <c r="BB511">
        <f t="shared" si="410"/>
        <v>2.9086122134317067</v>
      </c>
      <c r="BC511">
        <f t="shared" si="411"/>
        <v>-1.4399637392071947</v>
      </c>
      <c r="BD511">
        <f t="shared" si="399"/>
        <v>-262.50384500272338</v>
      </c>
      <c r="BF511">
        <f t="shared" si="400"/>
        <v>-46.990616623140582</v>
      </c>
      <c r="BG511">
        <f t="shared" si="401"/>
        <v>-173.08826487194426</v>
      </c>
      <c r="BH511">
        <f t="shared" si="412"/>
        <v>6.9117351280557386</v>
      </c>
      <c r="BI511">
        <f t="shared" si="413"/>
        <v>6.9117351280557386</v>
      </c>
      <c r="BJ511">
        <f t="shared" si="402"/>
        <v>0</v>
      </c>
      <c r="BK511">
        <f t="shared" si="414"/>
        <v>0</v>
      </c>
      <c r="BM511">
        <f t="shared" si="415"/>
        <v>-49.899228836572291</v>
      </c>
      <c r="BN511">
        <f t="shared" si="403"/>
        <v>-90.584419869220895</v>
      </c>
      <c r="BQ511" s="66">
        <f t="shared" si="416"/>
        <v>19.810573013716844</v>
      </c>
    </row>
    <row r="512" spans="1:69" x14ac:dyDescent="0.2">
      <c r="A512">
        <f t="shared" si="420"/>
        <v>1490000</v>
      </c>
      <c r="B512">
        <f t="shared" si="404"/>
        <v>1490</v>
      </c>
      <c r="C512">
        <f t="shared" si="373"/>
        <v>92.68866092038617</v>
      </c>
      <c r="D512">
        <f t="shared" si="374"/>
        <v>1.5600073112798447</v>
      </c>
      <c r="F512">
        <f t="shared" si="375"/>
        <v>2.2932990953777732E-6</v>
      </c>
      <c r="G512">
        <f t="shared" si="376"/>
        <v>6.2318833177346699E-4</v>
      </c>
      <c r="H512">
        <f t="shared" si="377"/>
        <v>-3.1409694616682269</v>
      </c>
      <c r="J512">
        <f t="shared" si="378"/>
        <v>15</v>
      </c>
      <c r="M512">
        <f t="shared" si="379"/>
        <v>2.2640933945971913E-3</v>
      </c>
      <c r="N512">
        <f t="shared" si="380"/>
        <v>-1.5707963250000001</v>
      </c>
      <c r="O512">
        <f t="shared" si="381"/>
        <v>441.51051041184382</v>
      </c>
      <c r="P512">
        <f t="shared" si="382"/>
        <v>1.5685313731156054</v>
      </c>
      <c r="Q512">
        <f t="shared" si="383"/>
        <v>611.71037535880953</v>
      </c>
      <c r="R512">
        <f t="shared" si="384"/>
        <v>1.5691615654998623</v>
      </c>
      <c r="S512">
        <f t="shared" si="385"/>
        <v>1.7979483519261496E-2</v>
      </c>
      <c r="T512">
        <f t="shared" si="386"/>
        <v>-1.5528158744545792</v>
      </c>
      <c r="U512">
        <f t="shared" si="387"/>
        <v>0.98610714945291844</v>
      </c>
      <c r="V512">
        <f t="shared" si="388"/>
        <v>-0.16688402444849035</v>
      </c>
      <c r="X512">
        <f t="shared" si="405"/>
        <v>-29.226777654160493</v>
      </c>
      <c r="Y512">
        <f t="shared" si="389"/>
        <v>-99.337442243403856</v>
      </c>
      <c r="Z512">
        <f t="shared" si="406"/>
        <v>80.662557756596144</v>
      </c>
      <c r="AC512">
        <v>1</v>
      </c>
      <c r="AD512">
        <f t="shared" si="390"/>
        <v>441.50937793452005</v>
      </c>
      <c r="AE512">
        <f t="shared" si="391"/>
        <v>-4.1333869975429781E-3</v>
      </c>
      <c r="AF512">
        <f t="shared" si="392"/>
        <v>2.4537660720237001E-2</v>
      </c>
      <c r="AG512">
        <f t="shared" si="421"/>
        <v>17489.977907539971</v>
      </c>
      <c r="AH512">
        <f t="shared" si="422"/>
        <v>-2986.9533247679424</v>
      </c>
      <c r="AJ512">
        <f t="shared" si="393"/>
        <v>18000</v>
      </c>
      <c r="AK512">
        <f t="shared" si="394"/>
        <v>1000979.27669124</v>
      </c>
      <c r="AL512">
        <v>1</v>
      </c>
      <c r="AM512">
        <f t="shared" si="395"/>
        <v>611.7095579779799</v>
      </c>
      <c r="AN512">
        <f t="shared" si="423"/>
        <v>1636.4073672345455</v>
      </c>
      <c r="AO512">
        <f t="shared" si="424"/>
        <v>-26.750591713583304</v>
      </c>
      <c r="AQ512">
        <f t="shared" si="396"/>
        <v>1.1260752752043517E-3</v>
      </c>
      <c r="AR512">
        <f t="shared" si="397"/>
        <v>-3.355704320108968</v>
      </c>
      <c r="AT512">
        <f t="shared" si="418"/>
        <v>-10003.637144202079</v>
      </c>
      <c r="AU512">
        <f t="shared" si="419"/>
        <v>-58694.557957229496</v>
      </c>
      <c r="AV512">
        <f t="shared" si="407"/>
        <v>-1.7396097344654753</v>
      </c>
      <c r="AW512">
        <f t="shared" si="408"/>
        <v>40840.480725493282</v>
      </c>
      <c r="AX512">
        <f t="shared" si="409"/>
        <v>-12596.223347982024</v>
      </c>
      <c r="AY512">
        <f t="shared" si="417"/>
        <v>-0.2991680750707652</v>
      </c>
      <c r="BA512">
        <f t="shared" si="398"/>
        <v>1.3931337951781704</v>
      </c>
      <c r="BB512">
        <f t="shared" si="410"/>
        <v>2.8798565527039628</v>
      </c>
      <c r="BC512">
        <f t="shared" si="411"/>
        <v>-1.44044165939471</v>
      </c>
      <c r="BD512">
        <f t="shared" si="399"/>
        <v>-262.53122781244343</v>
      </c>
      <c r="BF512">
        <f t="shared" si="400"/>
        <v>-47.048572113021471</v>
      </c>
      <c r="BG512">
        <f t="shared" si="401"/>
        <v>-173.11368670313021</v>
      </c>
      <c r="BH512">
        <f t="shared" si="412"/>
        <v>6.8863132968697869</v>
      </c>
      <c r="BI512">
        <f t="shared" si="413"/>
        <v>6.8863132968697869</v>
      </c>
      <c r="BJ512">
        <f t="shared" si="402"/>
        <v>0</v>
      </c>
      <c r="BK512">
        <f t="shared" si="414"/>
        <v>0</v>
      </c>
      <c r="BM512">
        <f t="shared" si="415"/>
        <v>-49.928428665725434</v>
      </c>
      <c r="BN512">
        <f t="shared" si="403"/>
        <v>-90.582458890686794</v>
      </c>
      <c r="BQ512" s="66">
        <f t="shared" si="416"/>
        <v>19.781817352989101</v>
      </c>
    </row>
    <row r="513" spans="1:69" x14ac:dyDescent="0.2">
      <c r="A513">
        <f t="shared" si="420"/>
        <v>1495000</v>
      </c>
      <c r="B513">
        <f t="shared" si="404"/>
        <v>1495</v>
      </c>
      <c r="C513">
        <f t="shared" si="373"/>
        <v>92.999660551773985</v>
      </c>
      <c r="D513">
        <f t="shared" si="374"/>
        <v>1.5600433921577093</v>
      </c>
      <c r="F513">
        <f t="shared" si="375"/>
        <v>2.2779849216987275E-6</v>
      </c>
      <c r="G513">
        <f t="shared" si="376"/>
        <v>6.2110408080582116E-4</v>
      </c>
      <c r="H513">
        <f t="shared" si="377"/>
        <v>-3.1409715459191943</v>
      </c>
      <c r="J513">
        <f t="shared" si="378"/>
        <v>15</v>
      </c>
      <c r="M513">
        <f t="shared" si="379"/>
        <v>2.2565211758861642E-3</v>
      </c>
      <c r="N513">
        <f t="shared" si="380"/>
        <v>-1.5707963250000001</v>
      </c>
      <c r="O513">
        <f t="shared" si="381"/>
        <v>442.99208171804395</v>
      </c>
      <c r="P513">
        <f t="shared" si="382"/>
        <v>1.5685389481857457</v>
      </c>
      <c r="Q513">
        <f t="shared" si="383"/>
        <v>613.76308926260799</v>
      </c>
      <c r="R513">
        <f t="shared" si="384"/>
        <v>1.5691670329192504</v>
      </c>
      <c r="S513">
        <f t="shared" si="385"/>
        <v>1.7919370808377594E-2</v>
      </c>
      <c r="T513">
        <f t="shared" si="386"/>
        <v>-1.5528759968514274</v>
      </c>
      <c r="U513">
        <f t="shared" si="387"/>
        <v>0.9860157024369578</v>
      </c>
      <c r="V513">
        <f t="shared" si="388"/>
        <v>-0.16743364708143774</v>
      </c>
      <c r="X513">
        <f t="shared" si="405"/>
        <v>-29.256676015564224</v>
      </c>
      <c r="Y513">
        <f t="shared" si="389"/>
        <v>-99.369682917383869</v>
      </c>
      <c r="Z513">
        <f t="shared" si="406"/>
        <v>80.630317082616131</v>
      </c>
      <c r="AC513">
        <v>1</v>
      </c>
      <c r="AD513">
        <f t="shared" si="390"/>
        <v>442.99095302826004</v>
      </c>
      <c r="AE513">
        <f t="shared" si="391"/>
        <v>-4.1611743949297305E-3</v>
      </c>
      <c r="AF513">
        <f t="shared" si="392"/>
        <v>2.4620001863593501E-2</v>
      </c>
      <c r="AG513">
        <f t="shared" si="421"/>
        <v>17486.734178643008</v>
      </c>
      <c r="AH513">
        <f t="shared" si="422"/>
        <v>-2996.1553587122744</v>
      </c>
      <c r="AJ513">
        <f t="shared" si="393"/>
        <v>18000</v>
      </c>
      <c r="AK513">
        <f t="shared" si="394"/>
        <v>1004338.26755262</v>
      </c>
      <c r="AL513">
        <v>1</v>
      </c>
      <c r="AM513">
        <f t="shared" si="395"/>
        <v>613.76227461549001</v>
      </c>
      <c r="AN513">
        <f t="shared" si="423"/>
        <v>1636.407075210288</v>
      </c>
      <c r="AO513">
        <f t="shared" si="424"/>
        <v>-26.661125327458716</v>
      </c>
      <c r="AQ513">
        <f t="shared" si="396"/>
        <v>1.1185555957365582E-3</v>
      </c>
      <c r="AR513">
        <f t="shared" si="397"/>
        <v>-3.3444812312523093</v>
      </c>
      <c r="AT513">
        <f t="shared" si="418"/>
        <v>-10001.025478762553</v>
      </c>
      <c r="AU513">
        <f t="shared" si="419"/>
        <v>-58487.405622711995</v>
      </c>
      <c r="AV513">
        <f t="shared" si="407"/>
        <v>-1.74015290433742</v>
      </c>
      <c r="AW513">
        <f t="shared" si="408"/>
        <v>40833.781897192974</v>
      </c>
      <c r="AX513">
        <f t="shared" si="409"/>
        <v>-12597.209904903155</v>
      </c>
      <c r="AY513">
        <f t="shared" si="417"/>
        <v>-0.29923633772305536</v>
      </c>
      <c r="BA513">
        <f t="shared" si="398"/>
        <v>1.388544222426298</v>
      </c>
      <c r="BB513">
        <f t="shared" si="410"/>
        <v>2.8511943147811221</v>
      </c>
      <c r="BC513">
        <f t="shared" si="411"/>
        <v>-1.4409165666143646</v>
      </c>
      <c r="BD513">
        <f t="shared" si="399"/>
        <v>-262.55843799182099</v>
      </c>
      <c r="BF513">
        <f t="shared" si="400"/>
        <v>-47.106336334484133</v>
      </c>
      <c r="BG513">
        <f t="shared" si="401"/>
        <v>-173.13894901926665</v>
      </c>
      <c r="BH513">
        <f t="shared" si="412"/>
        <v>6.8610509807333528</v>
      </c>
      <c r="BI513">
        <f t="shared" si="413"/>
        <v>6.8610509807333528</v>
      </c>
      <c r="BJ513">
        <f t="shared" si="402"/>
        <v>0</v>
      </c>
      <c r="BK513">
        <f t="shared" si="414"/>
        <v>0</v>
      </c>
      <c r="BM513">
        <f t="shared" si="415"/>
        <v>-49.957530649265259</v>
      </c>
      <c r="BN513">
        <f t="shared" si="403"/>
        <v>-90.580511027445681</v>
      </c>
      <c r="BQ513" s="66">
        <f t="shared" si="416"/>
        <v>19.75315511506626</v>
      </c>
    </row>
    <row r="514" spans="1:69" x14ac:dyDescent="0.2">
      <c r="A514">
        <f t="shared" si="420"/>
        <v>1500000</v>
      </c>
      <c r="B514">
        <f t="shared" si="404"/>
        <v>1500</v>
      </c>
      <c r="C514">
        <f t="shared" si="373"/>
        <v>93.310660303424498</v>
      </c>
      <c r="D514">
        <f t="shared" si="374"/>
        <v>1.5600792325241069</v>
      </c>
      <c r="F514">
        <f t="shared" si="375"/>
        <v>2.2628236348045726E-6</v>
      </c>
      <c r="G514">
        <f t="shared" si="376"/>
        <v>6.1903372493472787E-4</v>
      </c>
      <c r="H514">
        <f t="shared" si="377"/>
        <v>-3.1409736162750654</v>
      </c>
      <c r="J514">
        <f t="shared" si="378"/>
        <v>15</v>
      </c>
      <c r="M514">
        <f t="shared" si="379"/>
        <v>2.2489994386332103E-3</v>
      </c>
      <c r="N514">
        <f t="shared" si="380"/>
        <v>-1.5707963250000001</v>
      </c>
      <c r="O514">
        <f t="shared" si="381"/>
        <v>444.47365304949415</v>
      </c>
      <c r="P514">
        <f t="shared" si="382"/>
        <v>1.5685464727556748</v>
      </c>
      <c r="Q514">
        <f t="shared" si="383"/>
        <v>615.81580318463125</v>
      </c>
      <c r="R514">
        <f t="shared" si="384"/>
        <v>1.5691724638892726</v>
      </c>
      <c r="S514">
        <f t="shared" si="385"/>
        <v>1.7859658656517029E-2</v>
      </c>
      <c r="T514">
        <f t="shared" si="386"/>
        <v>-1.5529357185605723</v>
      </c>
      <c r="U514">
        <f t="shared" si="387"/>
        <v>0.98592397463018766</v>
      </c>
      <c r="V514">
        <f t="shared" si="388"/>
        <v>-0.16798316761895002</v>
      </c>
      <c r="X514">
        <f t="shared" si="405"/>
        <v>-29.286479824748199</v>
      </c>
      <c r="Y514">
        <f t="shared" si="389"/>
        <v>-99.401912750017416</v>
      </c>
      <c r="Z514">
        <f t="shared" si="406"/>
        <v>80.598087249982584</v>
      </c>
      <c r="AC514">
        <v>1</v>
      </c>
      <c r="AD514">
        <f t="shared" si="390"/>
        <v>444.47252812200009</v>
      </c>
      <c r="AE514">
        <f t="shared" si="391"/>
        <v>-4.1890548824249814E-3</v>
      </c>
      <c r="AF514">
        <f t="shared" si="392"/>
        <v>2.4702343006950001E-2</v>
      </c>
      <c r="AG514">
        <f t="shared" si="421"/>
        <v>17483.480791988331</v>
      </c>
      <c r="AH514">
        <f t="shared" si="422"/>
        <v>-3005.3529963766964</v>
      </c>
      <c r="AJ514">
        <f t="shared" si="393"/>
        <v>18000</v>
      </c>
      <c r="AK514">
        <f t="shared" si="394"/>
        <v>1007697.2584139999</v>
      </c>
      <c r="AL514">
        <v>1</v>
      </c>
      <c r="AM514">
        <f t="shared" si="395"/>
        <v>615.81499125300002</v>
      </c>
      <c r="AN514">
        <f t="shared" si="423"/>
        <v>1636.4067861013928</v>
      </c>
      <c r="AO514">
        <f t="shared" si="424"/>
        <v>-26.572255379174145</v>
      </c>
      <c r="AQ514">
        <f t="shared" si="396"/>
        <v>1.1111109876543346E-3</v>
      </c>
      <c r="AR514">
        <f t="shared" si="397"/>
        <v>-3.333332962963004</v>
      </c>
      <c r="AT514">
        <f t="shared" si="418"/>
        <v>-9998.4161205516539</v>
      </c>
      <c r="AU514">
        <f t="shared" si="419"/>
        <v>-58281.602112001281</v>
      </c>
      <c r="AV514">
        <f t="shared" si="407"/>
        <v>-1.7406960151320807</v>
      </c>
      <c r="AW514">
        <f t="shared" si="408"/>
        <v>40827.055498098976</v>
      </c>
      <c r="AX514">
        <f t="shared" si="409"/>
        <v>-12598.317839259493</v>
      </c>
      <c r="AY514">
        <f t="shared" si="417"/>
        <v>-0.29930752465909671</v>
      </c>
      <c r="BA514">
        <f t="shared" si="398"/>
        <v>1.383984560426061</v>
      </c>
      <c r="BB514">
        <f t="shared" si="410"/>
        <v>2.8226249041609304</v>
      </c>
      <c r="BC514">
        <f t="shared" si="411"/>
        <v>-1.4413884904729839</v>
      </c>
      <c r="BD514">
        <f t="shared" si="399"/>
        <v>-262.58547723720233</v>
      </c>
      <c r="BF514">
        <f t="shared" si="400"/>
        <v>-47.163910536660481</v>
      </c>
      <c r="BG514">
        <f t="shared" si="401"/>
        <v>-173.16405338556851</v>
      </c>
      <c r="BH514">
        <f t="shared" si="412"/>
        <v>6.8359466144314922</v>
      </c>
      <c r="BI514">
        <f t="shared" si="413"/>
        <v>6.8359466144314922</v>
      </c>
      <c r="BJ514">
        <f t="shared" si="402"/>
        <v>0</v>
      </c>
      <c r="BK514">
        <f t="shared" si="414"/>
        <v>0</v>
      </c>
      <c r="BM514">
        <f t="shared" si="415"/>
        <v>-49.986535440821413</v>
      </c>
      <c r="BN514">
        <f t="shared" si="403"/>
        <v>-90.578576148366182</v>
      </c>
      <c r="BQ514" s="66">
        <f t="shared" si="416"/>
        <v>19.724585704446067</v>
      </c>
    </row>
    <row r="515" spans="1:69" x14ac:dyDescent="0.2">
      <c r="A515">
        <f t="shared" si="420"/>
        <v>1505000</v>
      </c>
      <c r="B515">
        <f t="shared" si="404"/>
        <v>1505</v>
      </c>
      <c r="C515">
        <f t="shared" si="373"/>
        <v>93.621660174139194</v>
      </c>
      <c r="D515">
        <f t="shared" si="374"/>
        <v>1.5601148347757954</v>
      </c>
      <c r="F515">
        <f t="shared" si="375"/>
        <v>2.2478132063489028E-6</v>
      </c>
      <c r="G515">
        <f t="shared" si="376"/>
        <v>6.1697712566966109E-4</v>
      </c>
      <c r="H515">
        <f t="shared" si="377"/>
        <v>-3.1409756728743305</v>
      </c>
      <c r="J515">
        <f t="shared" si="378"/>
        <v>15</v>
      </c>
      <c r="M515">
        <f t="shared" si="379"/>
        <v>2.2415276797008738E-3</v>
      </c>
      <c r="N515">
        <f t="shared" si="380"/>
        <v>-1.5707963250000001</v>
      </c>
      <c r="O515">
        <f t="shared" si="381"/>
        <v>445.95522440594294</v>
      </c>
      <c r="P515">
        <f t="shared" si="382"/>
        <v>1.568553947328714</v>
      </c>
      <c r="Q515">
        <f t="shared" si="383"/>
        <v>617.86851712469752</v>
      </c>
      <c r="R515">
        <f t="shared" si="384"/>
        <v>1.5691778587732099</v>
      </c>
      <c r="S515">
        <f t="shared" si="385"/>
        <v>1.7800343073940007E-2</v>
      </c>
      <c r="T515">
        <f t="shared" si="386"/>
        <v>-1.5529950435738835</v>
      </c>
      <c r="U515">
        <f t="shared" si="387"/>
        <v>0.98583196627713798</v>
      </c>
      <c r="V515">
        <f t="shared" si="388"/>
        <v>-0.16853258575768384</v>
      </c>
      <c r="X515">
        <f t="shared" si="405"/>
        <v>-29.316189726152267</v>
      </c>
      <c r="Y515">
        <f t="shared" si="389"/>
        <v>-99.434131773599645</v>
      </c>
      <c r="Z515">
        <f t="shared" si="406"/>
        <v>80.565868226400355</v>
      </c>
      <c r="AC515">
        <v>1</v>
      </c>
      <c r="AD515">
        <f t="shared" si="390"/>
        <v>445.95410321574008</v>
      </c>
      <c r="AE515">
        <f t="shared" si="391"/>
        <v>-4.2170284600287307E-3</v>
      </c>
      <c r="AF515">
        <f t="shared" si="392"/>
        <v>2.4784684150306505E-2</v>
      </c>
      <c r="AG515">
        <f t="shared" si="421"/>
        <v>17480.217759027248</v>
      </c>
      <c r="AH515">
        <f t="shared" si="422"/>
        <v>-3014.5462142753822</v>
      </c>
      <c r="AJ515">
        <f t="shared" si="393"/>
        <v>18000</v>
      </c>
      <c r="AK515">
        <f t="shared" si="394"/>
        <v>1011056.2492753799</v>
      </c>
      <c r="AL515">
        <v>1</v>
      </c>
      <c r="AM515">
        <f t="shared" si="395"/>
        <v>617.86770789051002</v>
      </c>
      <c r="AN515">
        <f t="shared" si="423"/>
        <v>1636.4064998691827</v>
      </c>
      <c r="AO515">
        <f t="shared" si="424"/>
        <v>-26.483975924228989</v>
      </c>
      <c r="AQ515">
        <f t="shared" si="396"/>
        <v>1.1037404549905129E-3</v>
      </c>
      <c r="AR515">
        <f t="shared" si="397"/>
        <v>-3.3222587695214436</v>
      </c>
      <c r="AT515">
        <f t="shared" si="418"/>
        <v>-9995.8089730013744</v>
      </c>
      <c r="AU515">
        <f t="shared" si="419"/>
        <v>-58077.13401968289</v>
      </c>
      <c r="AV515">
        <f t="shared" si="407"/>
        <v>-1.7412390661173647</v>
      </c>
      <c r="AW515">
        <f t="shared" si="408"/>
        <v>40820.301631868082</v>
      </c>
      <c r="AX515">
        <f t="shared" si="409"/>
        <v>-12599.545789955513</v>
      </c>
      <c r="AY515">
        <f t="shared" si="417"/>
        <v>-0.29938160592492691</v>
      </c>
      <c r="BA515">
        <f t="shared" si="398"/>
        <v>1.3794545199682624</v>
      </c>
      <c r="BB515">
        <f t="shared" si="410"/>
        <v>2.7941477309192377</v>
      </c>
      <c r="BC515">
        <f t="shared" si="411"/>
        <v>-1.4418574601924377</v>
      </c>
      <c r="BD515">
        <f t="shared" si="399"/>
        <v>-262.61234722287713</v>
      </c>
      <c r="BF515">
        <f t="shared" si="400"/>
        <v>-47.221295956575759</v>
      </c>
      <c r="BG515">
        <f t="shared" si="401"/>
        <v>-173.18900134693624</v>
      </c>
      <c r="BH515">
        <f t="shared" si="412"/>
        <v>6.8109986530637627</v>
      </c>
      <c r="BI515">
        <f t="shared" si="413"/>
        <v>6.8109986530637627</v>
      </c>
      <c r="BJ515">
        <f t="shared" si="402"/>
        <v>0</v>
      </c>
      <c r="BK515">
        <f t="shared" si="414"/>
        <v>0</v>
      </c>
      <c r="BM515">
        <f t="shared" si="415"/>
        <v>-50.015443687494994</v>
      </c>
      <c r="BN515">
        <f t="shared" si="403"/>
        <v>-90.576654124059118</v>
      </c>
      <c r="BQ515" s="66">
        <f t="shared" si="416"/>
        <v>19.696108531204374</v>
      </c>
    </row>
    <row r="516" spans="1:69" x14ac:dyDescent="0.2">
      <c r="A516">
        <f t="shared" si="420"/>
        <v>1510000</v>
      </c>
      <c r="B516">
        <f t="shared" si="404"/>
        <v>1510</v>
      </c>
      <c r="C516">
        <f t="shared" si="373"/>
        <v>93.932660162735459</v>
      </c>
      <c r="D516">
        <f t="shared" si="374"/>
        <v>1.5601502012777935</v>
      </c>
      <c r="F516">
        <f t="shared" si="375"/>
        <v>2.2329516415116539E-6</v>
      </c>
      <c r="G516">
        <f t="shared" si="376"/>
        <v>6.1493414635442644E-4</v>
      </c>
      <c r="H516">
        <f t="shared" si="377"/>
        <v>-3.1409777158536456</v>
      </c>
      <c r="J516">
        <f t="shared" si="378"/>
        <v>15</v>
      </c>
      <c r="M516">
        <f t="shared" si="379"/>
        <v>2.234105402615772E-3</v>
      </c>
      <c r="N516">
        <f t="shared" si="380"/>
        <v>-1.5707963250000001</v>
      </c>
      <c r="O516">
        <f t="shared" si="381"/>
        <v>447.43679578714193</v>
      </c>
      <c r="P516">
        <f t="shared" si="382"/>
        <v>1.5685613724015173</v>
      </c>
      <c r="Q516">
        <f t="shared" si="383"/>
        <v>619.92123108262763</v>
      </c>
      <c r="R516">
        <f t="shared" si="384"/>
        <v>1.5691832179295324</v>
      </c>
      <c r="S516">
        <f t="shared" si="385"/>
        <v>1.7741420123709113E-2</v>
      </c>
      <c r="T516">
        <f t="shared" si="386"/>
        <v>-1.5530539758303858</v>
      </c>
      <c r="U516">
        <f t="shared" si="387"/>
        <v>0.98573967762296355</v>
      </c>
      <c r="V516">
        <f t="shared" si="388"/>
        <v>-0.16908190119465619</v>
      </c>
      <c r="X516">
        <f t="shared" si="405"/>
        <v>-29.345806357790458</v>
      </c>
      <c r="Y516">
        <f t="shared" si="389"/>
        <v>-99.466340019789641</v>
      </c>
      <c r="Z516">
        <f t="shared" si="406"/>
        <v>80.533659980210359</v>
      </c>
      <c r="AC516">
        <v>1</v>
      </c>
      <c r="AD516">
        <f t="shared" si="390"/>
        <v>447.43567830948007</v>
      </c>
      <c r="AE516">
        <f t="shared" si="391"/>
        <v>-4.2450951277409775E-3</v>
      </c>
      <c r="AF516">
        <f t="shared" si="392"/>
        <v>2.4867025293663001E-2</v>
      </c>
      <c r="AG516">
        <f t="shared" si="421"/>
        <v>17476.94509123846</v>
      </c>
      <c r="AH516">
        <f t="shared" si="422"/>
        <v>-3023.7349890730352</v>
      </c>
      <c r="AJ516">
        <f t="shared" si="393"/>
        <v>18000</v>
      </c>
      <c r="AK516">
        <f t="shared" si="394"/>
        <v>1014415.2401367599</v>
      </c>
      <c r="AL516">
        <v>1</v>
      </c>
      <c r="AM516">
        <f t="shared" si="395"/>
        <v>619.92042452802002</v>
      </c>
      <c r="AN516">
        <f t="shared" si="423"/>
        <v>1636.406216475619</v>
      </c>
      <c r="AO516">
        <f t="shared" si="424"/>
        <v>-26.396281096856743</v>
      </c>
      <c r="AQ516">
        <f t="shared" si="396"/>
        <v>1.096443018240097E-3</v>
      </c>
      <c r="AR516">
        <f t="shared" si="397"/>
        <v>-3.3112579150850934</v>
      </c>
      <c r="AT516">
        <f t="shared" si="418"/>
        <v>-9993.2039412623726</v>
      </c>
      <c r="AU516">
        <f t="shared" si="419"/>
        <v>-57873.988117988694</v>
      </c>
      <c r="AV516">
        <f t="shared" si="407"/>
        <v>-1.7417820565672195</v>
      </c>
      <c r="AW516">
        <f t="shared" si="408"/>
        <v>40813.520400930509</v>
      </c>
      <c r="AX516">
        <f t="shared" si="409"/>
        <v>-12600.892413565321</v>
      </c>
      <c r="AY516">
        <f t="shared" si="417"/>
        <v>-0.29945855195136961</v>
      </c>
      <c r="BA516">
        <f t="shared" si="398"/>
        <v>1.3749538155307486</v>
      </c>
      <c r="BB516">
        <f t="shared" si="410"/>
        <v>2.7657622106418693</v>
      </c>
      <c r="BC516">
        <f t="shared" si="411"/>
        <v>-1.44232350461585</v>
      </c>
      <c r="BD516">
        <f t="shared" si="399"/>
        <v>-262.63904960143481</v>
      </c>
      <c r="BF516">
        <f t="shared" si="400"/>
        <v>-47.278493819303343</v>
      </c>
      <c r="BG516">
        <f t="shared" si="401"/>
        <v>-173.21379442828345</v>
      </c>
      <c r="BH516">
        <f t="shared" si="412"/>
        <v>6.7862055717165504</v>
      </c>
      <c r="BI516">
        <f t="shared" si="413"/>
        <v>6.7862055717165504</v>
      </c>
      <c r="BJ516">
        <f t="shared" si="402"/>
        <v>0</v>
      </c>
      <c r="BK516">
        <f t="shared" si="414"/>
        <v>0</v>
      </c>
      <c r="BM516">
        <f t="shared" si="415"/>
        <v>-50.044256029945217</v>
      </c>
      <c r="BN516">
        <f t="shared" si="403"/>
        <v>-90.574744826848701</v>
      </c>
      <c r="BQ516" s="66">
        <f t="shared" si="416"/>
        <v>19.667723010927006</v>
      </c>
    </row>
    <row r="517" spans="1:69" x14ac:dyDescent="0.2">
      <c r="A517">
        <f t="shared" si="420"/>
        <v>1515000</v>
      </c>
      <c r="B517">
        <f t="shared" si="404"/>
        <v>1515</v>
      </c>
      <c r="C517">
        <f t="shared" si="373"/>
        <v>94.243660268046284</v>
      </c>
      <c r="D517">
        <f t="shared" si="374"/>
        <v>1.5601853343639045</v>
      </c>
      <c r="F517">
        <f t="shared" si="375"/>
        <v>2.2182369783363092E-6</v>
      </c>
      <c r="G517">
        <f t="shared" si="376"/>
        <v>6.1290465213689077E-4</v>
      </c>
      <c r="H517">
        <f t="shared" si="377"/>
        <v>-3.1409797453478632</v>
      </c>
      <c r="J517">
        <f t="shared" si="378"/>
        <v>15</v>
      </c>
      <c r="M517">
        <f t="shared" si="379"/>
        <v>2.2267321174586239E-3</v>
      </c>
      <c r="N517">
        <f t="shared" si="380"/>
        <v>-1.5707963250000001</v>
      </c>
      <c r="O517">
        <f t="shared" si="381"/>
        <v>448.91836719284595</v>
      </c>
      <c r="P517">
        <f t="shared" si="382"/>
        <v>1.5685687484641833</v>
      </c>
      <c r="Q517">
        <f t="shared" si="383"/>
        <v>621.97394505824468</v>
      </c>
      <c r="R517">
        <f t="shared" si="384"/>
        <v>1.5691885417119775</v>
      </c>
      <c r="S517">
        <f t="shared" si="385"/>
        <v>1.7682885920818781E-2</v>
      </c>
      <c r="T517">
        <f t="shared" si="386"/>
        <v>-1.5531125192171311</v>
      </c>
      <c r="U517">
        <f t="shared" si="387"/>
        <v>0.98564710891344143</v>
      </c>
      <c r="V517">
        <f t="shared" si="388"/>
        <v>-0.16963111362724526</v>
      </c>
      <c r="X517">
        <f t="shared" si="405"/>
        <v>-29.375330351335869</v>
      </c>
      <c r="Y517">
        <f t="shared" si="389"/>
        <v>-99.498537519621252</v>
      </c>
      <c r="Z517">
        <f t="shared" si="406"/>
        <v>80.501462480378748</v>
      </c>
      <c r="AC517">
        <v>1</v>
      </c>
      <c r="AD517">
        <f t="shared" si="390"/>
        <v>448.91725340322006</v>
      </c>
      <c r="AE517">
        <f t="shared" si="391"/>
        <v>-4.2732548855617235E-3</v>
      </c>
      <c r="AF517">
        <f t="shared" si="392"/>
        <v>2.4949366437019501E-2</v>
      </c>
      <c r="AG517">
        <f t="shared" si="421"/>
        <v>17473.662800127986</v>
      </c>
      <c r="AH517">
        <f t="shared" si="422"/>
        <v>-3032.9192975829592</v>
      </c>
      <c r="AJ517">
        <f t="shared" si="393"/>
        <v>18000</v>
      </c>
      <c r="AK517">
        <f t="shared" si="394"/>
        <v>1017774.2309981399</v>
      </c>
      <c r="AL517">
        <v>1</v>
      </c>
      <c r="AM517">
        <f t="shared" si="395"/>
        <v>621.97314116553002</v>
      </c>
      <c r="AN517">
        <f t="shared" si="423"/>
        <v>1636.4059358832897</v>
      </c>
      <c r="AO517">
        <f t="shared" si="424"/>
        <v>-26.309165108725733</v>
      </c>
      <c r="AQ517">
        <f t="shared" si="396"/>
        <v>1.0892177140348208E-3</v>
      </c>
      <c r="AR517">
        <f t="shared" si="397"/>
        <v>-3.300329673525507</v>
      </c>
      <c r="AT517">
        <f t="shared" si="418"/>
        <v>-9990.6009321702077</v>
      </c>
      <c r="AU517">
        <f t="shared" si="419"/>
        <v>-57672.15135386536</v>
      </c>
      <c r="AV517">
        <f t="shared" si="407"/>
        <v>-1.7423249857615373</v>
      </c>
      <c r="AW517">
        <f t="shared" si="408"/>
        <v>40806.711906515258</v>
      </c>
      <c r="AX517">
        <f t="shared" si="409"/>
        <v>-12602.356384042283</v>
      </c>
      <c r="AY517">
        <f t="shared" si="417"/>
        <v>-0.29953833354785109</v>
      </c>
      <c r="BA517">
        <f t="shared" si="398"/>
        <v>1.370482165220323</v>
      </c>
      <c r="BB517">
        <f t="shared" si="410"/>
        <v>2.7374677643575112</v>
      </c>
      <c r="BC517">
        <f t="shared" si="411"/>
        <v>-1.4427866522136861</v>
      </c>
      <c r="BD517">
        <f t="shared" si="399"/>
        <v>-262.66558600411275</v>
      </c>
      <c r="BF517">
        <f t="shared" si="400"/>
        <v>-47.335505338117116</v>
      </c>
      <c r="BG517">
        <f t="shared" si="401"/>
        <v>-173.23843413485702</v>
      </c>
      <c r="BH517">
        <f t="shared" si="412"/>
        <v>6.761565865142984</v>
      </c>
      <c r="BI517">
        <f t="shared" si="413"/>
        <v>6.761565865142984</v>
      </c>
      <c r="BJ517">
        <f t="shared" si="402"/>
        <v>0</v>
      </c>
      <c r="BK517">
        <f t="shared" si="414"/>
        <v>0</v>
      </c>
      <c r="BM517">
        <f t="shared" si="415"/>
        <v>-50.072973102474627</v>
      </c>
      <c r="BN517">
        <f t="shared" si="403"/>
        <v>-90.572848130744305</v>
      </c>
      <c r="BQ517" s="66">
        <f t="shared" si="416"/>
        <v>19.639428564642646</v>
      </c>
    </row>
    <row r="518" spans="1:69" x14ac:dyDescent="0.2">
      <c r="A518">
        <f>A517+5000</f>
        <v>1520000</v>
      </c>
      <c r="B518">
        <f t="shared" si="404"/>
        <v>1520</v>
      </c>
      <c r="C518">
        <f t="shared" si="373"/>
        <v>94.554660488920021</v>
      </c>
      <c r="D518">
        <f t="shared" si="374"/>
        <v>1.5602202363372293</v>
      </c>
      <c r="F518">
        <f t="shared" si="375"/>
        <v>2.2036672870823445E-6</v>
      </c>
      <c r="G518">
        <f t="shared" si="376"/>
        <v>6.1088850993930939E-4</v>
      </c>
      <c r="H518">
        <f t="shared" si="377"/>
        <v>-3.1409817614900608</v>
      </c>
      <c r="J518">
        <f t="shared" si="378"/>
        <v>15</v>
      </c>
      <c r="M518">
        <f t="shared" si="379"/>
        <v>2.2194073407564574E-3</v>
      </c>
      <c r="N518">
        <f t="shared" si="380"/>
        <v>-1.5707963250000001</v>
      </c>
      <c r="O518">
        <f t="shared" si="381"/>
        <v>450.39993862281335</v>
      </c>
      <c r="P518">
        <f t="shared" si="382"/>
        <v>1.5685760760003611</v>
      </c>
      <c r="Q518">
        <f t="shared" si="383"/>
        <v>624.02665905137417</v>
      </c>
      <c r="R518">
        <f t="shared" si="384"/>
        <v>1.5691938304696285</v>
      </c>
      <c r="S518">
        <f t="shared" si="385"/>
        <v>1.7624736631341977E-2</v>
      </c>
      <c r="T518">
        <f t="shared" si="386"/>
        <v>-1.5531706775700527</v>
      </c>
      <c r="U518">
        <f t="shared" si="387"/>
        <v>0.98555426039497041</v>
      </c>
      <c r="V518">
        <f t="shared" si="388"/>
        <v>-0.1701802227531912</v>
      </c>
      <c r="X518">
        <f t="shared" si="405"/>
        <v>-29.404762332204033</v>
      </c>
      <c r="Y518">
        <f t="shared" si="389"/>
        <v>-99.530724303513836</v>
      </c>
      <c r="Z518">
        <f t="shared" si="406"/>
        <v>80.469275696486164</v>
      </c>
      <c r="AC518">
        <v>1</v>
      </c>
      <c r="AD518">
        <f t="shared" si="390"/>
        <v>450.39882849696005</v>
      </c>
      <c r="AE518">
        <f t="shared" si="391"/>
        <v>-4.301507733490968E-3</v>
      </c>
      <c r="AF518">
        <f t="shared" si="392"/>
        <v>2.5031707580376001E-2</v>
      </c>
      <c r="AG518">
        <f t="shared" si="421"/>
        <v>17470.370897229044</v>
      </c>
      <c r="AH518">
        <f t="shared" si="422"/>
        <v>-3042.0991167651869</v>
      </c>
      <c r="AJ518">
        <f t="shared" si="393"/>
        <v>18000</v>
      </c>
      <c r="AK518">
        <f t="shared" si="394"/>
        <v>1021133.2218595201</v>
      </c>
      <c r="AL518">
        <v>1</v>
      </c>
      <c r="AM518">
        <f t="shared" si="395"/>
        <v>624.02585780303991</v>
      </c>
      <c r="AN518">
        <f t="shared" si="423"/>
        <v>1636.4056580553981</v>
      </c>
      <c r="AO518">
        <f t="shared" si="424"/>
        <v>-26.222622247665591</v>
      </c>
      <c r="AQ518">
        <f t="shared" si="396"/>
        <v>1.0820635948251822E-3</v>
      </c>
      <c r="AR518">
        <f t="shared" si="397"/>
        <v>-3.2894733282685542</v>
      </c>
      <c r="AT518">
        <f t="shared" si="418"/>
        <v>-9987.9998542124231</v>
      </c>
      <c r="AU518">
        <f t="shared" si="419"/>
        <v>-57471.610846100215</v>
      </c>
      <c r="AV518">
        <f t="shared" si="407"/>
        <v>-1.7428678529860668</v>
      </c>
      <c r="AW518">
        <f t="shared" si="408"/>
        <v>40799.876248674649</v>
      </c>
      <c r="AX518">
        <f t="shared" si="409"/>
        <v>-12603.936392434412</v>
      </c>
      <c r="AY518">
        <f t="shared" si="417"/>
        <v>-0.29962092189633743</v>
      </c>
      <c r="BA518">
        <f t="shared" si="398"/>
        <v>1.3660392907157501</v>
      </c>
      <c r="BB518">
        <f t="shared" si="410"/>
        <v>2.7092638184716216</v>
      </c>
      <c r="BC518">
        <f t="shared" si="411"/>
        <v>-1.4432469310897293</v>
      </c>
      <c r="BD518">
        <f t="shared" si="399"/>
        <v>-262.69195804113917</v>
      </c>
      <c r="BF518">
        <f t="shared" si="400"/>
        <v>-47.39233171464133</v>
      </c>
      <c r="BG518">
        <f t="shared" si="401"/>
        <v>-173.26292195255195</v>
      </c>
      <c r="BH518">
        <f t="shared" si="412"/>
        <v>6.7370780474480512</v>
      </c>
      <c r="BI518">
        <f t="shared" si="413"/>
        <v>6.7370780474480512</v>
      </c>
      <c r="BJ518">
        <f t="shared" si="402"/>
        <v>0</v>
      </c>
      <c r="BK518">
        <f t="shared" si="414"/>
        <v>0</v>
      </c>
      <c r="BM518">
        <f t="shared" si="415"/>
        <v>-50.101595533112963</v>
      </c>
      <c r="BN518">
        <f t="shared" si="403"/>
        <v>-90.57096391141279</v>
      </c>
      <c r="BQ518" s="66">
        <f t="shared" si="416"/>
        <v>19.611224618756758</v>
      </c>
    </row>
    <row r="519" spans="1:69" x14ac:dyDescent="0.2">
      <c r="A519">
        <f t="shared" si="420"/>
        <v>1525000</v>
      </c>
      <c r="B519">
        <f t="shared" si="404"/>
        <v>1525</v>
      </c>
      <c r="C519">
        <f t="shared" si="373"/>
        <v>94.865660824220086</v>
      </c>
      <c r="D519">
        <f t="shared" si="374"/>
        <v>1.5602549094706701</v>
      </c>
      <c r="F519">
        <f t="shared" si="375"/>
        <v>2.1892406695925065E-6</v>
      </c>
      <c r="G519">
        <f t="shared" si="376"/>
        <v>6.0888558842923848E-4</v>
      </c>
      <c r="H519">
        <f t="shared" si="377"/>
        <v>-3.1409837644115708</v>
      </c>
      <c r="J519">
        <f t="shared" si="378"/>
        <v>15</v>
      </c>
      <c r="M519">
        <f t="shared" si="379"/>
        <v>2.212130595376928E-3</v>
      </c>
      <c r="N519">
        <f t="shared" si="380"/>
        <v>-1.5707963250000001</v>
      </c>
      <c r="O519">
        <f t="shared" si="381"/>
        <v>451.8815100768054</v>
      </c>
      <c r="P519">
        <f t="shared" si="382"/>
        <v>1.5685833554873574</v>
      </c>
      <c r="Q519">
        <f t="shared" si="383"/>
        <v>626.07937306184374</v>
      </c>
      <c r="R519">
        <f t="shared" si="384"/>
        <v>1.5691990845469901</v>
      </c>
      <c r="S519">
        <f t="shared" si="385"/>
        <v>1.7566968471593614E-2</v>
      </c>
      <c r="T519">
        <f t="shared" si="386"/>
        <v>-1.5532284546748027</v>
      </c>
      <c r="U519">
        <f t="shared" si="387"/>
        <v>0.98546113231456778</v>
      </c>
      <c r="V519">
        <f t="shared" si="388"/>
        <v>-0.17072922827059714</v>
      </c>
      <c r="X519">
        <f t="shared" si="405"/>
        <v>-29.434102919635098</v>
      </c>
      <c r="Y519">
        <f t="shared" si="389"/>
        <v>-99.562900401282619</v>
      </c>
      <c r="Z519">
        <f t="shared" si="406"/>
        <v>80.437099598717381</v>
      </c>
      <c r="AC519">
        <v>1</v>
      </c>
      <c r="AD519">
        <f t="shared" si="390"/>
        <v>451.88040359069998</v>
      </c>
      <c r="AE519">
        <f t="shared" si="391"/>
        <v>-4.3298536715287101E-3</v>
      </c>
      <c r="AF519">
        <f t="shared" si="392"/>
        <v>2.5114048723732497E-2</v>
      </c>
      <c r="AG519">
        <f t="shared" si="421"/>
        <v>17467.069394101996</v>
      </c>
      <c r="AH519">
        <f t="shared" si="422"/>
        <v>-3051.2744237246357</v>
      </c>
      <c r="AJ519">
        <f t="shared" si="393"/>
        <v>18000</v>
      </c>
      <c r="AK519">
        <f t="shared" si="394"/>
        <v>1024492.2127208998</v>
      </c>
      <c r="AL519">
        <v>1</v>
      </c>
      <c r="AM519">
        <f t="shared" si="395"/>
        <v>626.07857444055003</v>
      </c>
      <c r="AN519">
        <f t="shared" si="423"/>
        <v>1636.4053829557467</v>
      </c>
      <c r="AO519">
        <f t="shared" si="424"/>
        <v>-26.13664687641867</v>
      </c>
      <c r="AQ519">
        <f t="shared" si="396"/>
        <v>1.0749797285697685E-3</v>
      </c>
      <c r="AR519">
        <f t="shared" si="397"/>
        <v>-3.2786881721377941</v>
      </c>
      <c r="AT519">
        <f t="shared" si="418"/>
        <v>-9985.4006174963451</v>
      </c>
      <c r="AU519">
        <f t="shared" si="419"/>
        <v>-57272.353882504089</v>
      </c>
      <c r="AV519">
        <f t="shared" si="407"/>
        <v>-1.7434106575323223</v>
      </c>
      <c r="AW519">
        <f t="shared" si="408"/>
        <v>40793.013526308503</v>
      </c>
      <c r="AX519">
        <f t="shared" si="409"/>
        <v>-12605.631146605345</v>
      </c>
      <c r="AY519">
        <f t="shared" si="417"/>
        <v>-0.29970628854538517</v>
      </c>
      <c r="BA519">
        <f t="shared" si="398"/>
        <v>1.3616249172118151</v>
      </c>
      <c r="BB519">
        <f t="shared" si="410"/>
        <v>2.6811498047012834</v>
      </c>
      <c r="BC519">
        <f t="shared" si="411"/>
        <v>-1.4437043689869371</v>
      </c>
      <c r="BD519">
        <f t="shared" si="399"/>
        <v>-262.71816730206848</v>
      </c>
      <c r="BF519">
        <f t="shared" si="400"/>
        <v>-47.448974138998281</v>
      </c>
      <c r="BG519">
        <f t="shared" si="401"/>
        <v>-173.28725934821966</v>
      </c>
      <c r="BH519">
        <f t="shared" si="412"/>
        <v>6.7127406517803365</v>
      </c>
      <c r="BI519">
        <f t="shared" si="413"/>
        <v>6.7127406517803365</v>
      </c>
      <c r="BJ519">
        <f t="shared" si="402"/>
        <v>0</v>
      </c>
      <c r="BK519">
        <f t="shared" si="414"/>
        <v>0</v>
      </c>
      <c r="BM519">
        <f t="shared" si="415"/>
        <v>-50.130123943699559</v>
      </c>
      <c r="BN519">
        <f t="shared" si="403"/>
        <v>-90.569092046151198</v>
      </c>
      <c r="BQ519" s="66">
        <f t="shared" si="416"/>
        <v>19.58311060498642</v>
      </c>
    </row>
    <row r="520" spans="1:69" x14ac:dyDescent="0.2">
      <c r="A520">
        <f t="shared" si="420"/>
        <v>1530000</v>
      </c>
      <c r="B520">
        <f t="shared" si="404"/>
        <v>1530</v>
      </c>
      <c r="C520">
        <f t="shared" si="373"/>
        <v>95.176661272824788</v>
      </c>
      <c r="D520">
        <f t="shared" si="374"/>
        <v>1.5602893560074231</v>
      </c>
      <c r="F520">
        <f t="shared" si="375"/>
        <v>2.1749552586745466E-6</v>
      </c>
      <c r="G520">
        <f t="shared" si="376"/>
        <v>6.0689575799101575E-4</v>
      </c>
      <c r="H520">
        <f t="shared" si="377"/>
        <v>-3.140985754242009</v>
      </c>
      <c r="J520">
        <f t="shared" si="378"/>
        <v>15</v>
      </c>
      <c r="M520">
        <f t="shared" si="379"/>
        <v>2.2049014104247159E-3</v>
      </c>
      <c r="N520">
        <f t="shared" si="380"/>
        <v>-1.5707963250000001</v>
      </c>
      <c r="O520">
        <f t="shared" si="381"/>
        <v>453.36308155458653</v>
      </c>
      <c r="P520">
        <f t="shared" si="382"/>
        <v>1.5685905873962396</v>
      </c>
      <c r="Q520">
        <f t="shared" si="383"/>
        <v>628.13208708948355</v>
      </c>
      <c r="R520">
        <f t="shared" si="384"/>
        <v>1.569204304284064</v>
      </c>
      <c r="S520">
        <f t="shared" si="385"/>
        <v>1.7509577707310379E-2</v>
      </c>
      <c r="T520">
        <f t="shared" si="386"/>
        <v>-1.5532858542675725</v>
      </c>
      <c r="U520">
        <f t="shared" si="387"/>
        <v>0.98536772491986924</v>
      </c>
      <c r="V520">
        <f t="shared" si="388"/>
        <v>-0.17127812987792992</v>
      </c>
      <c r="X520">
        <f t="shared" si="405"/>
        <v>-29.463352726774474</v>
      </c>
      <c r="Y520">
        <f t="shared" si="389"/>
        <v>-99.595065842148969</v>
      </c>
      <c r="Z520">
        <f t="shared" si="406"/>
        <v>80.404934157851031</v>
      </c>
      <c r="AC520">
        <v>1</v>
      </c>
      <c r="AD520">
        <f t="shared" si="390"/>
        <v>453.36197868444009</v>
      </c>
      <c r="AE520">
        <f t="shared" si="391"/>
        <v>-4.3582926996749514E-3</v>
      </c>
      <c r="AF520">
        <f t="shared" si="392"/>
        <v>2.5196389867089001E-2</v>
      </c>
      <c r="AG520">
        <f t="shared" si="421"/>
        <v>17463.758302334205</v>
      </c>
      <c r="AH520">
        <f t="shared" si="422"/>
        <v>-3060.4451957092992</v>
      </c>
      <c r="AJ520">
        <f t="shared" si="393"/>
        <v>18000</v>
      </c>
      <c r="AK520">
        <f t="shared" si="394"/>
        <v>1027851.20358228</v>
      </c>
      <c r="AL520">
        <v>1</v>
      </c>
      <c r="AM520">
        <f t="shared" si="395"/>
        <v>628.13129107806003</v>
      </c>
      <c r="AN520">
        <f t="shared" si="423"/>
        <v>1636.4051105487333</v>
      </c>
      <c r="AO520">
        <f t="shared" si="424"/>
        <v>-26.051233431416023</v>
      </c>
      <c r="AQ520">
        <f t="shared" si="396"/>
        <v>1.0679651984316718E-3</v>
      </c>
      <c r="AR520">
        <f t="shared" si="397"/>
        <v>-3.2679735072009155</v>
      </c>
      <c r="AT520">
        <f t="shared" si="418"/>
        <v>-9982.8031337175962</v>
      </c>
      <c r="AU520">
        <f t="shared" si="419"/>
        <v>-57074.367917148942</v>
      </c>
      <c r="AV520">
        <f t="shared" si="407"/>
        <v>-1.7439533986974962</v>
      </c>
      <c r="AW520">
        <f t="shared" si="408"/>
        <v>40786.12383718769</v>
      </c>
      <c r="AX520">
        <f t="shared" si="409"/>
        <v>-12607.439370960792</v>
      </c>
      <c r="AY520">
        <f t="shared" si="417"/>
        <v>-0.29979440540430652</v>
      </c>
      <c r="BA520">
        <f t="shared" si="398"/>
        <v>1.3572387733644244</v>
      </c>
      <c r="BB520">
        <f t="shared" si="410"/>
        <v>2.6531251600110339</v>
      </c>
      <c r="BC520">
        <f t="shared" si="411"/>
        <v>-1.4441589932931898</v>
      </c>
      <c r="BD520">
        <f t="shared" si="399"/>
        <v>-262.74421535611054</v>
      </c>
      <c r="BF520">
        <f t="shared" si="400"/>
        <v>-47.505433789953472</v>
      </c>
      <c r="BG520">
        <f t="shared" si="401"/>
        <v>-173.31144776997093</v>
      </c>
      <c r="BH520">
        <f t="shared" si="412"/>
        <v>6.6885522300290745</v>
      </c>
      <c r="BI520">
        <f t="shared" si="413"/>
        <v>6.6885522300290745</v>
      </c>
      <c r="BJ520">
        <f t="shared" si="402"/>
        <v>0</v>
      </c>
      <c r="BK520">
        <f t="shared" si="414"/>
        <v>0</v>
      </c>
      <c r="BM520">
        <f t="shared" si="415"/>
        <v>-50.158558949964501</v>
      </c>
      <c r="BN520">
        <f t="shared" si="403"/>
        <v>-90.567232413860353</v>
      </c>
      <c r="BQ520" s="66">
        <f t="shared" si="416"/>
        <v>19.555085960296172</v>
      </c>
    </row>
    <row r="521" spans="1:69" x14ac:dyDescent="0.2">
      <c r="A521">
        <f t="shared" si="420"/>
        <v>1535000</v>
      </c>
      <c r="B521">
        <f t="shared" si="404"/>
        <v>1535</v>
      </c>
      <c r="C521">
        <f t="shared" ref="C521:C584" si="425">SQRT((A521/Fesr)^2+1)</f>
        <v>95.487661833627058</v>
      </c>
      <c r="D521">
        <f t="shared" ref="D521:D584" si="426">ATAN(A521/Fesr)</f>
        <v>1.5603235781614628</v>
      </c>
      <c r="F521">
        <f t="shared" ref="F521:F584" si="427">(Ro/(Ro+Rdcr))/SQRT((A521/(Q*Fo))^2+(1-(A521^2/Fo^2))^2)</f>
        <v>2.1608092174970254E-6</v>
      </c>
      <c r="G521">
        <f t="shared" ref="G521:G584" si="428">-ATAN(A521*Fo/(Q*(Fo^2-A521^2)))</f>
        <v>6.0491889069779967E-4</v>
      </c>
      <c r="H521">
        <f t="shared" ref="H521:H584" si="429">IF(G521&gt;0,G521-Pi,G521)</f>
        <v>-3.1409877311093024</v>
      </c>
      <c r="J521">
        <f t="shared" ref="J521:J584" si="430">Vin/Vramp</f>
        <v>15</v>
      </c>
      <c r="M521">
        <f t="shared" ref="M521:M584" si="431">1/(2*Pi*_Rfb1*(Cc1ea_u+Cc2ea_u)*A521)</f>
        <v>2.1977193211399448E-3</v>
      </c>
      <c r="N521">
        <f t="shared" ref="N521:N584" si="432">-Pi/2</f>
        <v>-1.5707963250000001</v>
      </c>
      <c r="O521">
        <f t="shared" ref="O521:O584" si="433">SQRT(1+(A521/Fz1_u)^2)</f>
        <v>454.84465305592437</v>
      </c>
      <c r="P521">
        <f t="shared" ref="P521:P584" si="434">ATAN2(Fz1_u,A521)</f>
        <v>1.5685977721919373</v>
      </c>
      <c r="Q521">
        <f t="shared" ref="Q521:Q584" si="435">SQRT(1+(A521/Fz2_u)^2)</f>
        <v>630.18480113412579</v>
      </c>
      <c r="R521">
        <f t="shared" ref="R521:R584" si="436">ATAN2(Fz2_u,A521)</f>
        <v>1.5692094900164222</v>
      </c>
      <c r="S521">
        <f t="shared" ref="S521:S584" si="437">1/SQRT(1+(A521/Fp1_u)^2)</f>
        <v>1.7452560652846547E-2</v>
      </c>
      <c r="T521">
        <f t="shared" ref="T521:T584" si="438">-ATAN2(Fp1_u,A521)</f>
        <v>-1.5533428800358988</v>
      </c>
      <c r="U521">
        <f t="shared" ref="U521:U584" si="439">1/SQRT(1+(A521/Fp2_u)^2)</f>
        <v>0.98527403845912576</v>
      </c>
      <c r="V521">
        <f t="shared" ref="V521:V584" si="440">-ATAN2(Fp2_u,A521)</f>
        <v>-0.17182692727402099</v>
      </c>
      <c r="X521">
        <f t="shared" si="405"/>
        <v>-29.492512360752322</v>
      </c>
      <c r="Y521">
        <f t="shared" ref="Y521:Y584" si="441">(180/Pi)*(D521+H521+N521+P521+R521+T521+V521)</f>
        <v>-99.627220654750374</v>
      </c>
      <c r="Z521">
        <f t="shared" si="406"/>
        <v>80.372779345249626</v>
      </c>
      <c r="AC521">
        <v>1</v>
      </c>
      <c r="AD521">
        <f t="shared" ref="AD521:AD584" si="442">Rcea1_u*Cc1ea_u*A521*2*Pi</f>
        <v>454.84355377818008</v>
      </c>
      <c r="AE521">
        <f t="shared" ref="AE521:AE584" si="443">-Rcea1_u*Cc1ea_u*Cc2ea_u*(A521*2*Pi)^2</f>
        <v>-4.3868248179296902E-3</v>
      </c>
      <c r="AF521">
        <f t="shared" ref="AF521:AF584" si="444">(Cc2ea_u+Cc1ea_u)*A521*2*Pi</f>
        <v>2.5278731010445501E-2</v>
      </c>
      <c r="AG521">
        <f t="shared" si="421"/>
        <v>17460.437633539954</v>
      </c>
      <c r="AH521">
        <f t="shared" si="422"/>
        <v>-3069.6114101084818</v>
      </c>
      <c r="AJ521">
        <f t="shared" ref="AJ521:AJ584" si="445">_Rfb1</f>
        <v>18000</v>
      </c>
      <c r="AK521">
        <f t="shared" ref="AK521:AK584" si="446">_Rfb1*Rcea2_u*Cc3ea_u*A521*2*Pi</f>
        <v>1031210.19444366</v>
      </c>
      <c r="AL521">
        <v>1</v>
      </c>
      <c r="AM521">
        <f t="shared" ref="AM521:AM584" si="447">(_Rfb1+Rcea2_u)*Cc3ea_u*A521*2*Pi</f>
        <v>630.18400771557003</v>
      </c>
      <c r="AN521">
        <f t="shared" si="423"/>
        <v>1636.4048407993305</v>
      </c>
      <c r="AO521">
        <f t="shared" si="424"/>
        <v>-25.966376421577305</v>
      </c>
      <c r="AQ521">
        <f t="shared" ref="AQ521:AQ584" si="448">Eadcg/(1+(Eadcg*A521/GBP)^2)</f>
        <v>1.0610191024818191E-3</v>
      </c>
      <c r="AR521">
        <f t="shared" ref="AR521:AR584" si="449">-(A521*Eadcg*Eadcg/GBP)/(1+(Eadcg*A521/GBP)^2)</f>
        <v>-3.2573286446191849</v>
      </c>
      <c r="AT521">
        <f t="shared" si="418"/>
        <v>-9980.2073161293683</v>
      </c>
      <c r="AU521">
        <f t="shared" si="419"/>
        <v>-56877.64056765983</v>
      </c>
      <c r="AV521">
        <f t="shared" si="407"/>
        <v>-1.7444960757843742</v>
      </c>
      <c r="AW521">
        <f t="shared" si="408"/>
        <v>40779.207277977031</v>
      </c>
      <c r="AX521">
        <f t="shared" si="409"/>
        <v>-12609.359806180335</v>
      </c>
      <c r="AY521">
        <f t="shared" si="417"/>
        <v>-0.29988524473744543</v>
      </c>
      <c r="BA521">
        <f t="shared" ref="BA521:BA584" si="450">SQRT(AT521^2+AU521^2)/SQRT(AW521^2+AX521^2)</f>
        <v>1.3528805912367237</v>
      </c>
      <c r="BB521">
        <f t="shared" si="410"/>
        <v>2.6251893265496431</v>
      </c>
      <c r="BC521">
        <f t="shared" si="411"/>
        <v>-1.4446108310469288</v>
      </c>
      <c r="BD521">
        <f t="shared" ref="BD521:BD584" si="451">BC521*180/Pi-180</f>
        <v>-262.77010375245408</v>
      </c>
      <c r="BF521">
        <f t="shared" ref="BF521:BF584" si="452">20*LOG(BA521*J521*F521*C521)</f>
        <v>-47.561711835058716</v>
      </c>
      <c r="BG521">
        <f t="shared" ref="BG521:BG584" si="453">(180/Pi)*(D521+H521+BC521)</f>
        <v>-173.33548864747257</v>
      </c>
      <c r="BH521">
        <f t="shared" si="412"/>
        <v>6.6645113525274269</v>
      </c>
      <c r="BI521">
        <f t="shared" si="413"/>
        <v>6.6645113525274269</v>
      </c>
      <c r="BJ521">
        <f t="shared" ref="BJ521:BJ584" si="454">SUM((BF522&lt;0)*(BF521&gt;0))*A521</f>
        <v>0</v>
      </c>
      <c r="BK521">
        <f t="shared" si="414"/>
        <v>0</v>
      </c>
      <c r="BM521">
        <f t="shared" si="415"/>
        <v>-50.186901161608361</v>
      </c>
      <c r="BN521">
        <f t="shared" ref="BN521:BN584" si="455">(H521+D521)*180/Pi</f>
        <v>-90.565384895018497</v>
      </c>
      <c r="BQ521" s="66">
        <f t="shared" si="416"/>
        <v>19.527150126834776</v>
      </c>
    </row>
    <row r="522" spans="1:69" x14ac:dyDescent="0.2">
      <c r="A522">
        <f t="shared" si="420"/>
        <v>1540000</v>
      </c>
      <c r="B522">
        <f t="shared" ref="B522:B585" si="456">A522/1000</f>
        <v>1540</v>
      </c>
      <c r="C522">
        <f t="shared" si="425"/>
        <v>95.798662505534139</v>
      </c>
      <c r="D522">
        <f t="shared" si="426"/>
        <v>1.5603575781180163</v>
      </c>
      <c r="F522">
        <f t="shared" si="427"/>
        <v>2.1468007389988287E-6</v>
      </c>
      <c r="G522">
        <f t="shared" si="428"/>
        <v>6.0295486028415376E-4</v>
      </c>
      <c r="H522">
        <f t="shared" si="429"/>
        <v>-3.1409896951397163</v>
      </c>
      <c r="J522">
        <f t="shared" si="430"/>
        <v>15</v>
      </c>
      <c r="M522">
        <f t="shared" si="431"/>
        <v>2.1905838687985815E-3</v>
      </c>
      <c r="N522">
        <f t="shared" si="432"/>
        <v>-1.5707963250000001</v>
      </c>
      <c r="O522">
        <f t="shared" si="433"/>
        <v>456.32622458058933</v>
      </c>
      <c r="P522">
        <f t="shared" si="434"/>
        <v>1.5686049103333424</v>
      </c>
      <c r="Q522">
        <f t="shared" si="435"/>
        <v>632.23751519560471</v>
      </c>
      <c r="R522">
        <f t="shared" si="436"/>
        <v>1.5692146420752779</v>
      </c>
      <c r="S522">
        <f t="shared" si="437"/>
        <v>1.7395913670385468E-2</v>
      </c>
      <c r="T522">
        <f t="shared" si="438"/>
        <v>-1.5533995356194523</v>
      </c>
      <c r="U522">
        <f t="shared" si="439"/>
        <v>0.98518007318120226</v>
      </c>
      <c r="V522">
        <f t="shared" si="440"/>
        <v>-0.17237562015806715</v>
      </c>
      <c r="X522">
        <f t="shared" ref="X522:X585" si="457">20*LOG(C522*J522*O522*Q522*F522*M522*S522*U522)</f>
        <v>-29.521582422761661</v>
      </c>
      <c r="Y522">
        <f t="shared" si="441"/>
        <v>-99.659364867150373</v>
      </c>
      <c r="Z522">
        <f t="shared" ref="Z522:Z585" si="458">Y522+180</f>
        <v>80.340635132849627</v>
      </c>
      <c r="AC522">
        <v>1</v>
      </c>
      <c r="AD522">
        <f t="shared" si="442"/>
        <v>456.32512887192007</v>
      </c>
      <c r="AE522">
        <f t="shared" si="443"/>
        <v>-4.4154500262929258E-3</v>
      </c>
      <c r="AF522">
        <f t="shared" si="444"/>
        <v>2.5361072153802004E-2</v>
      </c>
      <c r="AG522">
        <f t="shared" si="421"/>
        <v>17457.10739936035</v>
      </c>
      <c r="AH522">
        <f t="shared" si="422"/>
        <v>-3078.773044451063</v>
      </c>
      <c r="AJ522">
        <f t="shared" si="445"/>
        <v>18000</v>
      </c>
      <c r="AK522">
        <f t="shared" si="446"/>
        <v>1034569.18530504</v>
      </c>
      <c r="AL522">
        <v>1</v>
      </c>
      <c r="AM522">
        <f t="shared" si="447"/>
        <v>632.23672435308004</v>
      </c>
      <c r="AN522">
        <f t="shared" si="423"/>
        <v>1636.4045736730811</v>
      </c>
      <c r="AO522">
        <f t="shared" si="424"/>
        <v>-25.882070427133993</v>
      </c>
      <c r="AQ522">
        <f t="shared" si="448"/>
        <v>1.0541405534090326E-3</v>
      </c>
      <c r="AR522">
        <f t="shared" si="449"/>
        <v>-3.2467529044998202</v>
      </c>
      <c r="AT522">
        <f t="shared" si="418"/>
        <v>-9977.6130795123609</v>
      </c>
      <c r="AU522">
        <f t="shared" si="419"/>
        <v>-56682.159612559415</v>
      </c>
      <c r="AV522">
        <f t="shared" ref="AV522:AV585" si="459">ATAN2(AT522,AU522)</f>
        <v>-1.745038688101251</v>
      </c>
      <c r="AW522">
        <f t="shared" ref="AW522:AW585" si="460">AG522-AH522*AO522/_Rfb2+AG522*AN522/_Rfb2+AN522-AO522*AR522+AQ522*AN522</f>
        <v>40772.263944257829</v>
      </c>
      <c r="AX522">
        <f t="shared" ref="AX522:AX585" si="461">AH522+AH522*AN522/_Rfb2+AG522*AO522/_Rfb2+AO522+AO522*AQ522+AN522*AR522</f>
        <v>-12611.391208954456</v>
      </c>
      <c r="AY522">
        <f t="shared" si="417"/>
        <v>-0.29997877915856136</v>
      </c>
      <c r="BA522">
        <f t="shared" si="450"/>
        <v>1.3485501062462111</v>
      </c>
      <c r="BB522">
        <f t="shared" ref="BB522:BB585" si="462">20*LOG(BA522)</f>
        <v>2.5973417515878241</v>
      </c>
      <c r="BC522">
        <f t="shared" ref="BC522:BC585" si="463">AV522-AY522</f>
        <v>-1.4450599089426897</v>
      </c>
      <c r="BD522">
        <f t="shared" si="451"/>
        <v>-262.79583402058319</v>
      </c>
      <c r="BF522">
        <f t="shared" si="452"/>
        <v>-47.617809430792846</v>
      </c>
      <c r="BG522">
        <f t="shared" si="453"/>
        <v>-173.35938339223898</v>
      </c>
      <c r="BH522">
        <f t="shared" ref="BH522:BH585" si="464">IF(BG522&gt;180,BG522-180,BG522+180)</f>
        <v>6.640616607761018</v>
      </c>
      <c r="BI522">
        <f t="shared" ref="BI522:BI585" si="465">IF(BH522&gt;180,BH522-360,BH522)</f>
        <v>6.640616607761018</v>
      </c>
      <c r="BJ522">
        <f t="shared" si="454"/>
        <v>0</v>
      </c>
      <c r="BK522">
        <f t="shared" ref="BK522:BK585" si="466">IF(BJ522&gt;0,BI522,0)</f>
        <v>0</v>
      </c>
      <c r="BM522">
        <f t="shared" ref="BM522:BM585" si="467">20*LOG(J522*F522*C522)</f>
        <v>-50.215151182380673</v>
      </c>
      <c r="BN522">
        <f t="shared" si="455"/>
        <v>-90.563549371655796</v>
      </c>
      <c r="BQ522" s="66">
        <f t="shared" ref="BQ522:BQ585" si="468">20*LOG(BA522*7)</f>
        <v>19.499302551872958</v>
      </c>
    </row>
    <row r="523" spans="1:69" x14ac:dyDescent="0.2">
      <c r="A523">
        <f t="shared" si="420"/>
        <v>1545000</v>
      </c>
      <c r="B523">
        <f t="shared" si="456"/>
        <v>1545</v>
      </c>
      <c r="C523">
        <f t="shared" si="425"/>
        <v>96.109663287467512</v>
      </c>
      <c r="D523">
        <f t="shared" si="426"/>
        <v>1.5603913580340276</v>
      </c>
      <c r="F523">
        <f t="shared" si="427"/>
        <v>2.1329280453120363E-6</v>
      </c>
      <c r="G523">
        <f t="shared" si="428"/>
        <v>6.0100354211916186E-4</v>
      </c>
      <c r="H523">
        <f t="shared" si="429"/>
        <v>-3.1409916464578811</v>
      </c>
      <c r="J523">
        <f t="shared" si="430"/>
        <v>15</v>
      </c>
      <c r="M523">
        <f t="shared" si="431"/>
        <v>2.1834946006147669E-3</v>
      </c>
      <c r="N523">
        <f t="shared" si="432"/>
        <v>-1.5707963250000001</v>
      </c>
      <c r="O523">
        <f t="shared" si="433"/>
        <v>457.80779612835505</v>
      </c>
      <c r="P523">
        <f t="shared" si="434"/>
        <v>1.568612002273406</v>
      </c>
      <c r="Q523">
        <f t="shared" si="435"/>
        <v>634.29022927375695</v>
      </c>
      <c r="R523">
        <f t="shared" si="436"/>
        <v>1.5692197607875578</v>
      </c>
      <c r="S523">
        <f t="shared" si="437"/>
        <v>1.733963316916633E-2</v>
      </c>
      <c r="T523">
        <f t="shared" si="438"/>
        <v>-1.5534558246108123</v>
      </c>
      <c r="U523">
        <f t="shared" si="439"/>
        <v>0.9850858293355762</v>
      </c>
      <c r="V523">
        <f t="shared" si="440"/>
        <v>-0.17292420822963153</v>
      </c>
      <c r="X523">
        <f t="shared" si="457"/>
        <v>-29.550563508135248</v>
      </c>
      <c r="Y523">
        <f t="shared" si="441"/>
        <v>-99.69149850684812</v>
      </c>
      <c r="Z523">
        <f t="shared" si="458"/>
        <v>80.30850149315188</v>
      </c>
      <c r="AC523">
        <v>1</v>
      </c>
      <c r="AD523">
        <f t="shared" si="442"/>
        <v>457.80670396566006</v>
      </c>
      <c r="AE523">
        <f t="shared" si="443"/>
        <v>-4.4441683247646614E-3</v>
      </c>
      <c r="AF523">
        <f t="shared" si="444"/>
        <v>2.5443413297158501E-2</v>
      </c>
      <c r="AG523">
        <f t="shared" si="421"/>
        <v>17453.767611463241</v>
      </c>
      <c r="AH523">
        <f t="shared" si="422"/>
        <v>-3087.9300764038076</v>
      </c>
      <c r="AJ523">
        <f t="shared" si="445"/>
        <v>18000</v>
      </c>
      <c r="AK523">
        <f t="shared" si="446"/>
        <v>1037928.17616642</v>
      </c>
      <c r="AL523">
        <v>1</v>
      </c>
      <c r="AM523">
        <f t="shared" si="447"/>
        <v>634.28944099058992</v>
      </c>
      <c r="AN523">
        <f t="shared" si="423"/>
        <v>1636.4043091360829</v>
      </c>
      <c r="AO523">
        <f t="shared" si="424"/>
        <v>-25.798310098475504</v>
      </c>
      <c r="AQ523">
        <f t="shared" si="448"/>
        <v>1.0473286782366462E-3</v>
      </c>
      <c r="AR523">
        <f t="shared" si="449"/>
        <v>-3.2362456157512369</v>
      </c>
      <c r="AT523">
        <f t="shared" si="418"/>
        <v>-9975.0203401454419</v>
      </c>
      <c r="AU523">
        <f t="shared" si="419"/>
        <v>-56487.912988664262</v>
      </c>
      <c r="AV523">
        <f t="shared" si="459"/>
        <v>-1.7455812349618474</v>
      </c>
      <c r="AW523">
        <f t="shared" si="460"/>
        <v>40765.293930549851</v>
      </c>
      <c r="AX523">
        <f t="shared" si="461"/>
        <v>-12613.532351726695</v>
      </c>
      <c r="AY523">
        <f t="shared" ref="AY523:AY586" si="469">ATAN2(AW523,AX523)</f>
        <v>-0.30007498162531943</v>
      </c>
      <c r="BA523">
        <f t="shared" si="450"/>
        <v>1.3442470571128233</v>
      </c>
      <c r="BB523">
        <f t="shared" si="462"/>
        <v>2.569581887456847</v>
      </c>
      <c r="BC523">
        <f t="shared" si="463"/>
        <v>-1.4455062533365279</v>
      </c>
      <c r="BD523">
        <f t="shared" si="451"/>
        <v>-262.82140767058866</v>
      </c>
      <c r="BF523">
        <f t="shared" si="452"/>
        <v>-47.673727722700306</v>
      </c>
      <c r="BG523">
        <f t="shared" si="453"/>
        <v>-173.38313339791796</v>
      </c>
      <c r="BH523">
        <f t="shared" si="464"/>
        <v>6.616866602082041</v>
      </c>
      <c r="BI523">
        <f t="shared" si="465"/>
        <v>6.616866602082041</v>
      </c>
      <c r="BJ523">
        <f t="shared" si="454"/>
        <v>0</v>
      </c>
      <c r="BK523">
        <f t="shared" si="466"/>
        <v>0</v>
      </c>
      <c r="BM523">
        <f t="shared" si="467"/>
        <v>-50.243309610157148</v>
      </c>
      <c r="BN523">
        <f t="shared" si="455"/>
        <v>-90.561725727329303</v>
      </c>
      <c r="BQ523" s="66">
        <f t="shared" si="468"/>
        <v>19.471542687741984</v>
      </c>
    </row>
    <row r="524" spans="1:69" x14ac:dyDescent="0.2">
      <c r="A524">
        <f t="shared" si="420"/>
        <v>1550000</v>
      </c>
      <c r="B524">
        <f t="shared" si="456"/>
        <v>1550</v>
      </c>
      <c r="C524">
        <f t="shared" si="425"/>
        <v>96.420664178362486</v>
      </c>
      <c r="D524">
        <f t="shared" si="426"/>
        <v>1.5604249200386147</v>
      </c>
      <c r="F524">
        <f t="shared" si="427"/>
        <v>2.1191893871978048E-6</v>
      </c>
      <c r="G524">
        <f t="shared" si="428"/>
        <v>5.9906481318006512E-4</v>
      </c>
      <c r="H524">
        <f t="shared" si="429"/>
        <v>-3.1409935851868203</v>
      </c>
      <c r="J524">
        <f t="shared" si="430"/>
        <v>15</v>
      </c>
      <c r="M524">
        <f t="shared" si="431"/>
        <v>2.1764510696450422E-3</v>
      </c>
      <c r="N524">
        <f t="shared" si="432"/>
        <v>-1.5707963250000001</v>
      </c>
      <c r="O524">
        <f t="shared" si="433"/>
        <v>459.28936769899792</v>
      </c>
      <c r="P524">
        <f t="shared" si="434"/>
        <v>1.5686190484592353</v>
      </c>
      <c r="Q524">
        <f t="shared" si="435"/>
        <v>636.34294336842117</v>
      </c>
      <c r="R524">
        <f t="shared" si="436"/>
        <v>1.569224846475969</v>
      </c>
      <c r="S524">
        <f t="shared" si="437"/>
        <v>1.7283715604725886E-2</v>
      </c>
      <c r="T524">
        <f t="shared" si="438"/>
        <v>-1.553511750556225</v>
      </c>
      <c r="U524">
        <f t="shared" si="439"/>
        <v>0.98499130717233574</v>
      </c>
      <c r="V524">
        <f t="shared" si="440"/>
        <v>-0.17347269118864447</v>
      </c>
      <c r="X524">
        <f t="shared" si="457"/>
        <v>-29.579456206421174</v>
      </c>
      <c r="Y524">
        <f t="shared" si="441"/>
        <v>-99.723621600787965</v>
      </c>
      <c r="Z524">
        <f t="shared" si="458"/>
        <v>80.276378399212035</v>
      </c>
      <c r="AC524">
        <v>1</v>
      </c>
      <c r="AD524">
        <f t="shared" si="442"/>
        <v>459.2882790594</v>
      </c>
      <c r="AE524">
        <f t="shared" si="443"/>
        <v>-4.4729797133448955E-3</v>
      </c>
      <c r="AF524">
        <f t="shared" si="444"/>
        <v>2.5525754440515001E-2</v>
      </c>
      <c r="AG524">
        <f t="shared" si="421"/>
        <v>17450.418281543083</v>
      </c>
      <c r="AH524">
        <f t="shared" si="422"/>
        <v>-3097.0824837696778</v>
      </c>
      <c r="AJ524">
        <f t="shared" si="445"/>
        <v>18000</v>
      </c>
      <c r="AK524">
        <f t="shared" si="446"/>
        <v>1041287.1670277999</v>
      </c>
      <c r="AL524">
        <v>1</v>
      </c>
      <c r="AM524">
        <f t="shared" si="447"/>
        <v>636.34215762809993</v>
      </c>
      <c r="AN524">
        <f t="shared" si="423"/>
        <v>1636.4040471549797</v>
      </c>
      <c r="AO524">
        <f t="shared" si="424"/>
        <v>-25.715090155017617</v>
      </c>
      <c r="AQ524">
        <f t="shared" si="448"/>
        <v>1.0405826180455132E-3</v>
      </c>
      <c r="AR524">
        <f t="shared" si="449"/>
        <v>-3.2258061159410909</v>
      </c>
      <c r="AT524">
        <f t="shared" si="418"/>
        <v>-9972.4290157768537</v>
      </c>
      <c r="AU524">
        <f t="shared" si="419"/>
        <v>-56294.888788531163</v>
      </c>
      <c r="AV524">
        <f t="shared" si="459"/>
        <v>-1.7461237156852301</v>
      </c>
      <c r="AW524">
        <f t="shared" si="460"/>
        <v>40758.29733033268</v>
      </c>
      <c r="AX524">
        <f t="shared" si="461"/>
        <v>-12615.782022440735</v>
      </c>
      <c r="AY524">
        <f t="shared" si="469"/>
        <v>-0.30017382543388405</v>
      </c>
      <c r="BA524">
        <f t="shared" si="450"/>
        <v>1.3399711858079744</v>
      </c>
      <c r="BB524">
        <f t="shared" si="462"/>
        <v>2.5419091914880547</v>
      </c>
      <c r="BC524">
        <f t="shared" si="463"/>
        <v>-1.4459498902513461</v>
      </c>
      <c r="BD524">
        <f t="shared" si="451"/>
        <v>-262.84682619347302</v>
      </c>
      <c r="BF524">
        <f t="shared" si="452"/>
        <v>-47.729467845527616</v>
      </c>
      <c r="BG524">
        <f t="shared" si="453"/>
        <v>-173.40674004057121</v>
      </c>
      <c r="BH524">
        <f t="shared" si="464"/>
        <v>6.5932599594287922</v>
      </c>
      <c r="BI524">
        <f t="shared" si="465"/>
        <v>6.5932599594287922</v>
      </c>
      <c r="BJ524">
        <f t="shared" si="454"/>
        <v>0</v>
      </c>
      <c r="BK524">
        <f t="shared" si="466"/>
        <v>0</v>
      </c>
      <c r="BM524">
        <f t="shared" si="467"/>
        <v>-50.271377037015668</v>
      </c>
      <c r="BN524">
        <f t="shared" si="455"/>
        <v>-90.559913847098215</v>
      </c>
      <c r="BQ524" s="66">
        <f t="shared" si="468"/>
        <v>19.443869991773191</v>
      </c>
    </row>
    <row r="525" spans="1:69" x14ac:dyDescent="0.2">
      <c r="A525">
        <f t="shared" si="420"/>
        <v>1555000</v>
      </c>
      <c r="B525">
        <f t="shared" si="456"/>
        <v>1555</v>
      </c>
      <c r="C525">
        <f t="shared" si="425"/>
        <v>96.731665177168082</v>
      </c>
      <c r="D525">
        <f t="shared" si="426"/>
        <v>1.5604582662335156</v>
      </c>
      <c r="F525">
        <f t="shared" si="427"/>
        <v>2.1055830434949245E-6</v>
      </c>
      <c r="G525">
        <f t="shared" si="428"/>
        <v>5.9713855202640721E-4</v>
      </c>
      <c r="H525">
        <f t="shared" si="429"/>
        <v>-3.140995511447974</v>
      </c>
      <c r="J525">
        <f t="shared" si="430"/>
        <v>15</v>
      </c>
      <c r="M525">
        <f t="shared" si="431"/>
        <v>2.1694528346944148E-3</v>
      </c>
      <c r="N525">
        <f t="shared" si="432"/>
        <v>-1.5707963250000001</v>
      </c>
      <c r="O525">
        <f t="shared" si="433"/>
        <v>460.77093929229733</v>
      </c>
      <c r="P525">
        <f t="shared" si="434"/>
        <v>1.5686260493321866</v>
      </c>
      <c r="Q525">
        <f t="shared" si="435"/>
        <v>638.39565747943811</v>
      </c>
      <c r="R525">
        <f t="shared" si="436"/>
        <v>1.5692298994590694</v>
      </c>
      <c r="S525">
        <f t="shared" si="437"/>
        <v>1.7228157478154784E-2</v>
      </c>
      <c r="T525">
        <f t="shared" si="438"/>
        <v>-1.5535673169563491</v>
      </c>
      <c r="U525">
        <f t="shared" si="439"/>
        <v>0.98489650694217723</v>
      </c>
      <c r="V525">
        <f t="shared" si="440"/>
        <v>-0.17402106873540413</v>
      </c>
      <c r="X525">
        <f t="shared" si="457"/>
        <v>-29.608261101457323</v>
      </c>
      <c r="Y525">
        <f t="shared" si="441"/>
        <v>-99.755734175368659</v>
      </c>
      <c r="Z525">
        <f t="shared" si="458"/>
        <v>80.244265824631341</v>
      </c>
      <c r="AC525">
        <v>1</v>
      </c>
      <c r="AD525">
        <f t="shared" si="442"/>
        <v>460.7698541531401</v>
      </c>
      <c r="AE525">
        <f t="shared" si="443"/>
        <v>-4.501884192033628E-3</v>
      </c>
      <c r="AF525">
        <f t="shared" si="444"/>
        <v>2.5608095583871501E-2</v>
      </c>
      <c r="AG525">
        <f t="shared" si="421"/>
        <v>17447.059421320875</v>
      </c>
      <c r="AH525">
        <f t="shared" si="422"/>
        <v>-3106.2302444862262</v>
      </c>
      <c r="AJ525">
        <f t="shared" si="445"/>
        <v>18000</v>
      </c>
      <c r="AK525">
        <f t="shared" si="446"/>
        <v>1044646.1578891799</v>
      </c>
      <c r="AL525">
        <v>1</v>
      </c>
      <c r="AM525">
        <f t="shared" si="447"/>
        <v>638.39487426560993</v>
      </c>
      <c r="AN525">
        <f t="shared" si="423"/>
        <v>1636.4037876969528</v>
      </c>
      <c r="AO525">
        <f t="shared" si="424"/>
        <v>-25.63240538409277</v>
      </c>
      <c r="AQ525">
        <f t="shared" si="448"/>
        <v>1.0339015277032364E-3</v>
      </c>
      <c r="AR525">
        <f t="shared" si="449"/>
        <v>-3.215433751157065</v>
      </c>
      <c r="AT525">
        <f t="shared" si="418"/>
        <v>-9969.8390255962404</v>
      </c>
      <c r="AU525">
        <f t="shared" si="419"/>
        <v>-56103.075257953169</v>
      </c>
      <c r="AV525">
        <f t="shared" si="459"/>
        <v>-1.746666129595732</v>
      </c>
      <c r="AW525">
        <f t="shared" si="460"/>
        <v>40751.274236066783</v>
      </c>
      <c r="AX525">
        <f t="shared" si="461"/>
        <v>-12618.139024292472</v>
      </c>
      <c r="AY525">
        <f t="shared" si="469"/>
        <v>-0.3002752842136141</v>
      </c>
      <c r="BA525">
        <f t="shared" si="450"/>
        <v>1.3357222375045281</v>
      </c>
      <c r="BB525">
        <f t="shared" si="462"/>
        <v>2.514323125953259</v>
      </c>
      <c r="BC525">
        <f t="shared" si="463"/>
        <v>-1.4463908453821179</v>
      </c>
      <c r="BD525">
        <f t="shared" si="451"/>
        <v>-262.87209106144974</v>
      </c>
      <c r="BF525">
        <f t="shared" si="452"/>
        <v>-47.785030923357688</v>
      </c>
      <c r="BG525">
        <f t="shared" si="453"/>
        <v>-173.43020467894959</v>
      </c>
      <c r="BH525">
        <f t="shared" si="464"/>
        <v>6.5697953210504068</v>
      </c>
      <c r="BI525">
        <f t="shared" si="465"/>
        <v>6.5697953210504068</v>
      </c>
      <c r="BJ525">
        <f t="shared" si="454"/>
        <v>0</v>
      </c>
      <c r="BK525">
        <f t="shared" si="466"/>
        <v>0</v>
      </c>
      <c r="BM525">
        <f t="shared" si="467"/>
        <v>-50.299354049310949</v>
      </c>
      <c r="BN525">
        <f t="shared" si="455"/>
        <v>-90.55811361749987</v>
      </c>
      <c r="BQ525" s="66">
        <f t="shared" si="468"/>
        <v>19.416283926238396</v>
      </c>
    </row>
    <row r="526" spans="1:69" x14ac:dyDescent="0.2">
      <c r="A526">
        <f t="shared" si="420"/>
        <v>1560000</v>
      </c>
      <c r="B526">
        <f t="shared" si="456"/>
        <v>1560</v>
      </c>
      <c r="C526">
        <f t="shared" si="425"/>
        <v>97.042666282846866</v>
      </c>
      <c r="D526">
        <f t="shared" si="426"/>
        <v>1.5604913986935285</v>
      </c>
      <c r="F526">
        <f t="shared" si="427"/>
        <v>2.0921073205807297E-6</v>
      </c>
      <c r="G526">
        <f t="shared" si="428"/>
        <v>5.9522463877467583E-4</v>
      </c>
      <c r="H526">
        <f t="shared" si="429"/>
        <v>-3.1409974253612254</v>
      </c>
      <c r="J526">
        <f t="shared" si="430"/>
        <v>15</v>
      </c>
      <c r="M526">
        <f t="shared" si="431"/>
        <v>2.1624994602242407E-3</v>
      </c>
      <c r="N526">
        <f t="shared" si="432"/>
        <v>-1.5707963250000001</v>
      </c>
      <c r="O526">
        <f t="shared" si="433"/>
        <v>462.25251090803539</v>
      </c>
      <c r="P526">
        <f t="shared" si="434"/>
        <v>1.5686330053279578</v>
      </c>
      <c r="Q526">
        <f t="shared" si="435"/>
        <v>640.44837160665043</v>
      </c>
      <c r="R526">
        <f t="shared" si="436"/>
        <v>1.5692349200513314</v>
      </c>
      <c r="S526">
        <f t="shared" si="437"/>
        <v>1.7172955335368192E-2</v>
      </c>
      <c r="T526">
        <f t="shared" si="438"/>
        <v>-1.5536225272669844</v>
      </c>
      <c r="U526">
        <f t="shared" si="439"/>
        <v>0.98480142889640465</v>
      </c>
      <c r="V526">
        <f t="shared" si="440"/>
        <v>-0.17456934057057749</v>
      </c>
      <c r="X526">
        <f t="shared" si="457"/>
        <v>-29.636978771444561</v>
      </c>
      <c r="Y526">
        <f t="shared" si="441"/>
        <v>-99.787836256452437</v>
      </c>
      <c r="Z526">
        <f t="shared" si="458"/>
        <v>80.212163743547563</v>
      </c>
      <c r="AC526">
        <v>1</v>
      </c>
      <c r="AD526">
        <f t="shared" si="442"/>
        <v>462.25142924688009</v>
      </c>
      <c r="AE526">
        <f t="shared" si="443"/>
        <v>-4.5308817608308589E-3</v>
      </c>
      <c r="AF526">
        <f t="shared" si="444"/>
        <v>2.5690436727228004E-2</v>
      </c>
      <c r="AG526">
        <f t="shared" si="421"/>
        <v>17443.691042544047</v>
      </c>
      <c r="AH526">
        <f t="shared" si="422"/>
        <v>-3115.3733366239762</v>
      </c>
      <c r="AJ526">
        <f t="shared" si="445"/>
        <v>18000</v>
      </c>
      <c r="AK526">
        <f t="shared" si="446"/>
        <v>1048005.14875056</v>
      </c>
      <c r="AL526">
        <v>1</v>
      </c>
      <c r="AM526">
        <f t="shared" si="447"/>
        <v>640.44759090312004</v>
      </c>
      <c r="AN526">
        <f t="shared" si="423"/>
        <v>1636.4035307297056</v>
      </c>
      <c r="AO526">
        <f t="shared" si="424"/>
        <v>-25.550250639861648</v>
      </c>
      <c r="AQ526">
        <f t="shared" si="448"/>
        <v>1.0272845755994642E-3</v>
      </c>
      <c r="AR526">
        <f t="shared" si="449"/>
        <v>-3.2051278758703283</v>
      </c>
      <c r="AT526">
        <f t="shared" si="418"/>
        <v>-9967.2502902071355</v>
      </c>
      <c r="AU526">
        <f t="shared" si="419"/>
        <v>-55912.460793503422</v>
      </c>
      <c r="AV526">
        <f t="shared" si="459"/>
        <v>-1.7472084760228752</v>
      </c>
      <c r="AW526">
        <f t="shared" si="460"/>
        <v>40744.224739213969</v>
      </c>
      <c r="AX526">
        <f t="shared" si="461"/>
        <v>-12620.602175486743</v>
      </c>
      <c r="AY526">
        <f t="shared" si="469"/>
        <v>-0.30037933192185662</v>
      </c>
      <c r="BA526">
        <f t="shared" si="450"/>
        <v>1.3314999605276845</v>
      </c>
      <c r="BB526">
        <f t="shared" si="462"/>
        <v>2.4868231580060116</v>
      </c>
      <c r="BC526">
        <f t="shared" si="463"/>
        <v>-1.4468291441010186</v>
      </c>
      <c r="BD526">
        <f t="shared" si="451"/>
        <v>-262.8972037282374</v>
      </c>
      <c r="BF526">
        <f t="shared" si="452"/>
        <v>-47.8404180697421</v>
      </c>
      <c r="BG526">
        <f t="shared" si="453"/>
        <v>-173.45352865476329</v>
      </c>
      <c r="BH526">
        <f t="shared" si="464"/>
        <v>6.5464713452367107</v>
      </c>
      <c r="BI526">
        <f t="shared" si="465"/>
        <v>6.5464713452367107</v>
      </c>
      <c r="BJ526">
        <f t="shared" si="454"/>
        <v>0</v>
      </c>
      <c r="BK526">
        <f t="shared" si="466"/>
        <v>0</v>
      </c>
      <c r="BM526">
        <f t="shared" si="467"/>
        <v>-50.327241227748118</v>
      </c>
      <c r="BN526">
        <f t="shared" si="455"/>
        <v>-90.556324926525861</v>
      </c>
      <c r="BQ526" s="66">
        <f t="shared" si="468"/>
        <v>19.388783958291146</v>
      </c>
    </row>
    <row r="527" spans="1:69" x14ac:dyDescent="0.2">
      <c r="A527">
        <f t="shared" si="420"/>
        <v>1565000</v>
      </c>
      <c r="B527">
        <f t="shared" si="456"/>
        <v>1565</v>
      </c>
      <c r="C527">
        <f t="shared" si="425"/>
        <v>97.353667494374562</v>
      </c>
      <c r="D527">
        <f t="shared" si="426"/>
        <v>1.5605243194669409</v>
      </c>
      <c r="F527">
        <f t="shared" si="427"/>
        <v>2.0787605518440464E-6</v>
      </c>
      <c r="G527">
        <f t="shared" si="428"/>
        <v>5.933229550734322E-4</v>
      </c>
      <c r="H527">
        <f t="shared" si="429"/>
        <v>-3.1409993270449266</v>
      </c>
      <c r="J527">
        <f t="shared" si="430"/>
        <v>15</v>
      </c>
      <c r="M527">
        <f t="shared" si="431"/>
        <v>2.1555905162618629E-3</v>
      </c>
      <c r="N527">
        <f t="shared" si="432"/>
        <v>-1.5707963250000001</v>
      </c>
      <c r="O527">
        <f t="shared" si="433"/>
        <v>463.73408254599696</v>
      </c>
      <c r="P527">
        <f t="shared" si="434"/>
        <v>1.5686399168766791</v>
      </c>
      <c r="Q527">
        <f t="shared" si="435"/>
        <v>642.50108574990304</v>
      </c>
      <c r="R527">
        <f t="shared" si="436"/>
        <v>1.5692399085632098</v>
      </c>
      <c r="S527">
        <f t="shared" si="437"/>
        <v>1.7118105766390383E-2</v>
      </c>
      <c r="T527">
        <f t="shared" si="438"/>
        <v>-1.5536773848997893</v>
      </c>
      <c r="U527">
        <f t="shared" si="439"/>
        <v>0.9847060732869265</v>
      </c>
      <c r="V527">
        <f t="shared" si="440"/>
        <v>-0.17511750639520116</v>
      </c>
      <c r="X527">
        <f t="shared" si="457"/>
        <v>-29.665609789018795</v>
      </c>
      <c r="Y527">
        <f t="shared" si="441"/>
        <v>-99.819927869374055</v>
      </c>
      <c r="Z527">
        <f t="shared" si="458"/>
        <v>80.180072130625945</v>
      </c>
      <c r="AC527">
        <v>1</v>
      </c>
      <c r="AD527">
        <f t="shared" si="442"/>
        <v>463.73300434062008</v>
      </c>
      <c r="AE527">
        <f t="shared" si="443"/>
        <v>-4.5599724197365882E-3</v>
      </c>
      <c r="AF527">
        <f t="shared" si="444"/>
        <v>2.5772777870584501E-2</v>
      </c>
      <c r="AG527">
        <f t="shared" si="421"/>
        <v>17440.313156986362</v>
      </c>
      <c r="AH527">
        <f t="shared" si="422"/>
        <v>-3124.5117383848651</v>
      </c>
      <c r="AJ527">
        <f t="shared" si="445"/>
        <v>18000</v>
      </c>
      <c r="AK527">
        <f t="shared" si="446"/>
        <v>1051364.1396119399</v>
      </c>
      <c r="AL527">
        <v>1</v>
      </c>
      <c r="AM527">
        <f t="shared" si="447"/>
        <v>642.50030754063005</v>
      </c>
      <c r="AN527">
        <f t="shared" si="423"/>
        <v>1636.4032762214595</v>
      </c>
      <c r="AO527">
        <f t="shared" si="424"/>
        <v>-25.46862084224567</v>
      </c>
      <c r="AQ527">
        <f t="shared" si="448"/>
        <v>1.0207309433870977E-3</v>
      </c>
      <c r="AR527">
        <f t="shared" si="449"/>
        <v>-3.1948878528016156</v>
      </c>
      <c r="AT527">
        <f t="shared" si="418"/>
        <v>-9964.6627316001668</v>
      </c>
      <c r="AU527">
        <f t="shared" si="419"/>
        <v>-55723.033940126268</v>
      </c>
      <c r="AV527">
        <f t="shared" si="459"/>
        <v>-1.7477507543012942</v>
      </c>
      <c r="AW527">
        <f t="shared" si="460"/>
        <v>40737.148930257405</v>
      </c>
      <c r="AX527">
        <f t="shared" si="461"/>
        <v>-12623.170308998826</v>
      </c>
      <c r="AY527">
        <f t="shared" si="469"/>
        <v>-0.300485942838839</v>
      </c>
      <c r="BA527">
        <f t="shared" si="450"/>
        <v>1.3273041063067583</v>
      </c>
      <c r="BB527">
        <f t="shared" si="462"/>
        <v>2.4594087596237166</v>
      </c>
      <c r="BC527">
        <f t="shared" si="463"/>
        <v>-1.4472648114624551</v>
      </c>
      <c r="BD527">
        <f t="shared" si="451"/>
        <v>-262.92216562934789</v>
      </c>
      <c r="BF527">
        <f t="shared" si="452"/>
        <v>-47.895630387831346</v>
      </c>
      <c r="BG527">
        <f t="shared" si="453"/>
        <v>-173.4767132929469</v>
      </c>
      <c r="BH527">
        <f t="shared" si="464"/>
        <v>6.5232867070531029</v>
      </c>
      <c r="BI527">
        <f t="shared" si="465"/>
        <v>6.5232867070531029</v>
      </c>
      <c r="BJ527">
        <f t="shared" si="454"/>
        <v>0</v>
      </c>
      <c r="BK527">
        <f t="shared" si="466"/>
        <v>0</v>
      </c>
      <c r="BM527">
        <f t="shared" si="467"/>
        <v>-50.355039147455059</v>
      </c>
      <c r="BN527">
        <f t="shared" si="455"/>
        <v>-90.554547663599038</v>
      </c>
      <c r="BQ527" s="66">
        <f t="shared" si="468"/>
        <v>19.361369559908852</v>
      </c>
    </row>
    <row r="528" spans="1:69" x14ac:dyDescent="0.2">
      <c r="A528">
        <f t="shared" si="420"/>
        <v>1570000</v>
      </c>
      <c r="B528">
        <f t="shared" si="456"/>
        <v>1570</v>
      </c>
      <c r="C528">
        <f t="shared" si="425"/>
        <v>97.664668810739968</v>
      </c>
      <c r="D528">
        <f t="shared" si="426"/>
        <v>1.5605570305759524</v>
      </c>
      <c r="F528">
        <f t="shared" si="427"/>
        <v>2.0655410971698693E-6</v>
      </c>
      <c r="G528">
        <f t="shared" si="428"/>
        <v>5.9143338407891357E-4</v>
      </c>
      <c r="H528">
        <f t="shared" si="429"/>
        <v>-3.1410012166159214</v>
      </c>
      <c r="J528">
        <f t="shared" si="430"/>
        <v>15</v>
      </c>
      <c r="M528">
        <f t="shared" si="431"/>
        <v>2.1487255783119844E-3</v>
      </c>
      <c r="N528">
        <f t="shared" si="432"/>
        <v>-1.5707963250000001</v>
      </c>
      <c r="O528">
        <f t="shared" si="433"/>
        <v>465.21565420596988</v>
      </c>
      <c r="P528">
        <f t="shared" si="434"/>
        <v>1.568646784403001</v>
      </c>
      <c r="Q528">
        <f t="shared" si="435"/>
        <v>644.55379990904248</v>
      </c>
      <c r="R528">
        <f t="shared" si="436"/>
        <v>1.5692448653012039</v>
      </c>
      <c r="S528">
        <f t="shared" si="437"/>
        <v>1.7063605404652984E-2</v>
      </c>
      <c r="T528">
        <f t="shared" si="438"/>
        <v>-1.5537318932229833</v>
      </c>
      <c r="U528">
        <f t="shared" si="439"/>
        <v>0.984610440366255</v>
      </c>
      <c r="V528">
        <f t="shared" si="440"/>
        <v>-0.17566556591068214</v>
      </c>
      <c r="X528">
        <f t="shared" si="457"/>
        <v>-29.694154721321873</v>
      </c>
      <c r="Y528">
        <f t="shared" si="441"/>
        <v>-99.85200903894949</v>
      </c>
      <c r="Z528">
        <f t="shared" si="458"/>
        <v>80.14799096105051</v>
      </c>
      <c r="AC528">
        <v>1</v>
      </c>
      <c r="AD528">
        <f t="shared" si="442"/>
        <v>465.21457943436008</v>
      </c>
      <c r="AE528">
        <f t="shared" si="443"/>
        <v>-4.589156168750815E-3</v>
      </c>
      <c r="AF528">
        <f t="shared" si="444"/>
        <v>2.5855119013941E-2</v>
      </c>
      <c r="AG528">
        <f t="shared" si="421"/>
        <v>17436.925776447821</v>
      </c>
      <c r="AH528">
        <f t="shared" si="422"/>
        <v>-3133.6454281006968</v>
      </c>
      <c r="AJ528">
        <f t="shared" si="445"/>
        <v>18000</v>
      </c>
      <c r="AK528">
        <f t="shared" si="446"/>
        <v>1054723.1304733201</v>
      </c>
      <c r="AL528">
        <v>1</v>
      </c>
      <c r="AM528">
        <f t="shared" si="447"/>
        <v>644.55302417814005</v>
      </c>
      <c r="AN528">
        <f t="shared" si="423"/>
        <v>1636.4030241409387</v>
      </c>
      <c r="AO528">
        <f t="shared" si="424"/>
        <v>-25.38751097587982</v>
      </c>
      <c r="AQ528">
        <f t="shared" si="448"/>
        <v>1.0142398257292561E-3</v>
      </c>
      <c r="AR528">
        <f t="shared" si="449"/>
        <v>-3.1847130527898644</v>
      </c>
      <c r="AT528">
        <f t="shared" si="418"/>
        <v>-9962.0762731268132</v>
      </c>
      <c r="AU528">
        <f t="shared" si="419"/>
        <v>-55534.783388774311</v>
      </c>
      <c r="AV528">
        <f t="shared" si="459"/>
        <v>-1.7482929637706615</v>
      </c>
      <c r="AW528">
        <f t="shared" si="460"/>
        <v>40730.046898721186</v>
      </c>
      <c r="AX528">
        <f t="shared" si="461"/>
        <v>-12625.842272340404</v>
      </c>
      <c r="AY528">
        <f t="shared" si="469"/>
        <v>-0.30059509156265435</v>
      </c>
      <c r="BA528">
        <f t="shared" si="450"/>
        <v>1.3231344293278358</v>
      </c>
      <c r="BB528">
        <f t="shared" si="462"/>
        <v>2.4320794075505971</v>
      </c>
      <c r="BC528">
        <f t="shared" si="463"/>
        <v>-1.4476978722080072</v>
      </c>
      <c r="BD528">
        <f t="shared" si="451"/>
        <v>-262.94697818236915</v>
      </c>
      <c r="BF528">
        <f t="shared" si="452"/>
        <v>-47.950668970503031</v>
      </c>
      <c r="BG528">
        <f t="shared" si="453"/>
        <v>-173.4997599019197</v>
      </c>
      <c r="BH528">
        <f t="shared" si="464"/>
        <v>6.5002400980802975</v>
      </c>
      <c r="BI528">
        <f t="shared" si="465"/>
        <v>6.5002400980802975</v>
      </c>
      <c r="BJ528">
        <f t="shared" si="454"/>
        <v>0</v>
      </c>
      <c r="BK528">
        <f t="shared" si="466"/>
        <v>0</v>
      </c>
      <c r="BM528">
        <f t="shared" si="467"/>
        <v>-50.38274837805362</v>
      </c>
      <c r="BN528">
        <f t="shared" si="455"/>
        <v>-90.552781719550552</v>
      </c>
      <c r="BQ528" s="66">
        <f t="shared" si="468"/>
        <v>19.334040207835734</v>
      </c>
    </row>
    <row r="529" spans="1:69" x14ac:dyDescent="0.2">
      <c r="A529">
        <f t="shared" si="420"/>
        <v>1575000</v>
      </c>
      <c r="B529">
        <f t="shared" si="456"/>
        <v>1575</v>
      </c>
      <c r="C529">
        <f t="shared" si="425"/>
        <v>97.975670230944786</v>
      </c>
      <c r="D529">
        <f t="shared" si="426"/>
        <v>1.5605895340170879</v>
      </c>
      <c r="F529">
        <f t="shared" si="427"/>
        <v>2.0524473424354766E-6</v>
      </c>
      <c r="G529">
        <f t="shared" si="428"/>
        <v>5.895558104311024E-4</v>
      </c>
      <c r="H529">
        <f t="shared" si="429"/>
        <v>-3.141003094189569</v>
      </c>
      <c r="J529">
        <f t="shared" si="430"/>
        <v>15</v>
      </c>
      <c r="M529">
        <f t="shared" si="431"/>
        <v>2.1419042272697239E-3</v>
      </c>
      <c r="N529">
        <f t="shared" si="432"/>
        <v>-1.5707963250000001</v>
      </c>
      <c r="O529">
        <f t="shared" si="433"/>
        <v>466.69722588774437</v>
      </c>
      <c r="P529">
        <f t="shared" si="434"/>
        <v>1.5686536083261822</v>
      </c>
      <c r="Q529">
        <f t="shared" si="435"/>
        <v>646.60651408391766</v>
      </c>
      <c r="R529">
        <f t="shared" si="436"/>
        <v>1.569249790567921</v>
      </c>
      <c r="S529">
        <f t="shared" si="437"/>
        <v>1.7009450926306565E-2</v>
      </c>
      <c r="T529">
        <f t="shared" si="438"/>
        <v>-1.5537860555620344</v>
      </c>
      <c r="U529">
        <f t="shared" si="439"/>
        <v>0.98451453038750458</v>
      </c>
      <c r="V529">
        <f t="shared" si="440"/>
        <v>-0.17621351881879874</v>
      </c>
      <c r="X529">
        <f t="shared" si="457"/>
        <v>-29.722614130071353</v>
      </c>
      <c r="Y529">
        <f t="shared" si="441"/>
        <v>-99.884079789484474</v>
      </c>
      <c r="Z529">
        <f t="shared" si="458"/>
        <v>80.115920210515526</v>
      </c>
      <c r="AC529">
        <v>1</v>
      </c>
      <c r="AD529">
        <f t="shared" si="442"/>
        <v>466.69615452810001</v>
      </c>
      <c r="AE529">
        <f t="shared" si="443"/>
        <v>-4.6184330078735411E-3</v>
      </c>
      <c r="AF529">
        <f t="shared" si="444"/>
        <v>2.5937460157297504E-2</v>
      </c>
      <c r="AG529">
        <f t="shared" si="421"/>
        <v>17433.528912754547</v>
      </c>
      <c r="AH529">
        <f t="shared" si="422"/>
        <v>-3142.7743842316386</v>
      </c>
      <c r="AJ529">
        <f t="shared" si="445"/>
        <v>18000</v>
      </c>
      <c r="AK529">
        <f t="shared" si="446"/>
        <v>1058082.1213346999</v>
      </c>
      <c r="AL529">
        <v>1</v>
      </c>
      <c r="AM529">
        <f t="shared" si="447"/>
        <v>646.60574081564994</v>
      </c>
      <c r="AN529">
        <f t="shared" si="423"/>
        <v>1636.4027744573641</v>
      </c>
      <c r="AO529">
        <f t="shared" si="424"/>
        <v>-25.306916089085526</v>
      </c>
      <c r="AQ529">
        <f t="shared" si="448"/>
        <v>1.007810430051859E-3</v>
      </c>
      <c r="AR529">
        <f t="shared" si="449"/>
        <v>-3.1746028546633553</v>
      </c>
      <c r="AT529">
        <f t="shared" si="418"/>
        <v>-9959.4908394737431</v>
      </c>
      <c r="AU529">
        <f t="shared" si="419"/>
        <v>-55347.697974090457</v>
      </c>
      <c r="AV529">
        <f t="shared" si="459"/>
        <v>-1.748835103775614</v>
      </c>
      <c r="AW529">
        <f t="shared" si="460"/>
        <v>40722.918733189472</v>
      </c>
      <c r="AX529">
        <f t="shared" si="461"/>
        <v>-12628.616927330055</v>
      </c>
      <c r="AY529">
        <f t="shared" si="469"/>
        <v>-0.30070675300434102</v>
      </c>
      <c r="BA529">
        <f t="shared" si="450"/>
        <v>1.318990687087285</v>
      </c>
      <c r="BB529">
        <f t="shared" si="462"/>
        <v>2.4048345832414668</v>
      </c>
      <c r="BC529">
        <f t="shared" si="463"/>
        <v>-1.448128350771273</v>
      </c>
      <c r="BD529">
        <f t="shared" si="451"/>
        <v>-262.9716427872433</v>
      </c>
      <c r="BF529">
        <f t="shared" si="452"/>
        <v>-48.005534900488193</v>
      </c>
      <c r="BG529">
        <f t="shared" si="453"/>
        <v>-173.52266977384087</v>
      </c>
      <c r="BH529">
        <f t="shared" si="464"/>
        <v>6.4773302261591255</v>
      </c>
      <c r="BI529">
        <f t="shared" si="465"/>
        <v>6.4773302261591255</v>
      </c>
      <c r="BJ529">
        <f t="shared" si="454"/>
        <v>0</v>
      </c>
      <c r="BK529">
        <f t="shared" si="466"/>
        <v>0</v>
      </c>
      <c r="BM529">
        <f t="shared" si="467"/>
        <v>-50.41036948372966</v>
      </c>
      <c r="BN529">
        <f t="shared" si="455"/>
        <v>-90.551026986597563</v>
      </c>
      <c r="BQ529" s="66">
        <f t="shared" si="468"/>
        <v>19.306795383526605</v>
      </c>
    </row>
    <row r="530" spans="1:69" x14ac:dyDescent="0.2">
      <c r="A530">
        <f t="shared" si="420"/>
        <v>1580000</v>
      </c>
      <c r="B530">
        <f t="shared" si="456"/>
        <v>1580</v>
      </c>
      <c r="C530">
        <f t="shared" si="425"/>
        <v>98.286671754003265</v>
      </c>
      <c r="D530">
        <f t="shared" si="426"/>
        <v>1.5606218317616045</v>
      </c>
      <c r="F530">
        <f t="shared" si="427"/>
        <v>2.0394776990176816E-6</v>
      </c>
      <c r="G530">
        <f t="shared" si="428"/>
        <v>5.8769012023024859E-4</v>
      </c>
      <c r="H530">
        <f t="shared" si="429"/>
        <v>-3.14100495987977</v>
      </c>
      <c r="J530">
        <f t="shared" si="430"/>
        <v>15</v>
      </c>
      <c r="M530">
        <f t="shared" si="431"/>
        <v>2.135126049335326E-3</v>
      </c>
      <c r="N530">
        <f t="shared" si="432"/>
        <v>-1.5707963250000001</v>
      </c>
      <c r="O530">
        <f t="shared" si="433"/>
        <v>468.17879759111344</v>
      </c>
      <c r="P530">
        <f t="shared" si="434"/>
        <v>1.5686603890601736</v>
      </c>
      <c r="Q530">
        <f t="shared" si="435"/>
        <v>648.65922827437907</v>
      </c>
      <c r="R530">
        <f t="shared" si="436"/>
        <v>1.5692546846621385</v>
      </c>
      <c r="S530">
        <f t="shared" si="437"/>
        <v>1.69556390495453E-2</v>
      </c>
      <c r="T530">
        <f t="shared" si="438"/>
        <v>-1.5538398752003377</v>
      </c>
      <c r="U530">
        <f t="shared" si="439"/>
        <v>0.98441834360438862</v>
      </c>
      <c r="V530">
        <f t="shared" si="440"/>
        <v>-0.17676136482170129</v>
      </c>
      <c r="X530">
        <f t="shared" si="457"/>
        <v>-29.750988571629186</v>
      </c>
      <c r="Y530">
        <f t="shared" si="441"/>
        <v>-99.916140144783128</v>
      </c>
      <c r="Z530">
        <f t="shared" si="458"/>
        <v>80.083859855216872</v>
      </c>
      <c r="AC530">
        <v>1</v>
      </c>
      <c r="AD530">
        <f t="shared" si="442"/>
        <v>468.17772962184</v>
      </c>
      <c r="AE530">
        <f t="shared" si="443"/>
        <v>-4.6478029371047657E-3</v>
      </c>
      <c r="AF530">
        <f t="shared" si="444"/>
        <v>2.6019801300654E-2</v>
      </c>
      <c r="AG530">
        <f t="shared" si="421"/>
        <v>17430.122577758739</v>
      </c>
      <c r="AH530">
        <f t="shared" si="422"/>
        <v>-3151.8985853647473</v>
      </c>
      <c r="AJ530">
        <f t="shared" si="445"/>
        <v>18000</v>
      </c>
      <c r="AK530">
        <f t="shared" si="446"/>
        <v>1061441.1121960799</v>
      </c>
      <c r="AL530">
        <v>1</v>
      </c>
      <c r="AM530">
        <f t="shared" si="447"/>
        <v>648.65845745315994</v>
      </c>
      <c r="AN530">
        <f t="shared" si="423"/>
        <v>1636.4025271404437</v>
      </c>
      <c r="AO530">
        <f t="shared" si="424"/>
        <v>-25.226831292862904</v>
      </c>
      <c r="AQ530">
        <f t="shared" si="448"/>
        <v>1.0014419763016767E-3</v>
      </c>
      <c r="AR530">
        <f t="shared" si="449"/>
        <v>-3.1645566451132985</v>
      </c>
      <c r="AT530">
        <f t="shared" si="418"/>
        <v>-9956.9063566377645</v>
      </c>
      <c r="AU530">
        <f t="shared" si="419"/>
        <v>-55161.766672134188</v>
      </c>
      <c r="AV530">
        <f t="shared" si="459"/>
        <v>-1.749377173665682</v>
      </c>
      <c r="AW530">
        <f t="shared" si="460"/>
        <v>40715.764521325327</v>
      </c>
      <c r="AX530">
        <f t="shared" si="461"/>
        <v>-12631.493149868111</v>
      </c>
      <c r="AY530">
        <f t="shared" si="469"/>
        <v>-0.30082090238305248</v>
      </c>
      <c r="BA530">
        <f t="shared" si="450"/>
        <v>1.3148726400461048</v>
      </c>
      <c r="BB530">
        <f t="shared" si="462"/>
        <v>2.3776737728063058</v>
      </c>
      <c r="BC530">
        <f t="shared" si="463"/>
        <v>-1.4485562712826296</v>
      </c>
      <c r="BD530">
        <f t="shared" si="451"/>
        <v>-262.99616082653915</v>
      </c>
      <c r="BF530">
        <f t="shared" si="452"/>
        <v>-48.060229250495716</v>
      </c>
      <c r="BG530">
        <f t="shared" si="453"/>
        <v>-173.54544418486054</v>
      </c>
      <c r="BH530">
        <f t="shared" si="464"/>
        <v>6.4545558151394573</v>
      </c>
      <c r="BI530">
        <f t="shared" si="465"/>
        <v>6.4545558151394573</v>
      </c>
      <c r="BJ530">
        <f t="shared" si="454"/>
        <v>0</v>
      </c>
      <c r="BK530">
        <f t="shared" si="466"/>
        <v>0</v>
      </c>
      <c r="BM530">
        <f t="shared" si="467"/>
        <v>-50.437903023302027</v>
      </c>
      <c r="BN530">
        <f t="shared" si="455"/>
        <v>-90.549283358321375</v>
      </c>
      <c r="BQ530" s="66">
        <f t="shared" si="468"/>
        <v>19.279634573091442</v>
      </c>
    </row>
    <row r="531" spans="1:69" x14ac:dyDescent="0.2">
      <c r="A531">
        <f t="shared" si="420"/>
        <v>1585000</v>
      </c>
      <c r="B531">
        <f t="shared" si="456"/>
        <v>1585</v>
      </c>
      <c r="C531">
        <f t="shared" si="425"/>
        <v>98.597673378942105</v>
      </c>
      <c r="D531">
        <f t="shared" si="426"/>
        <v>1.5606539257558898</v>
      </c>
      <c r="F531">
        <f t="shared" si="427"/>
        <v>2.0266306033109559E-6</v>
      </c>
      <c r="G531">
        <f t="shared" si="428"/>
        <v>5.8583620101383715E-4</v>
      </c>
      <c r="H531">
        <f t="shared" si="429"/>
        <v>-3.1410068137989864</v>
      </c>
      <c r="J531">
        <f t="shared" si="430"/>
        <v>15</v>
      </c>
      <c r="M531">
        <f t="shared" si="431"/>
        <v>2.1283906359304827E-3</v>
      </c>
      <c r="N531">
        <f t="shared" si="432"/>
        <v>-1.5707963250000001</v>
      </c>
      <c r="O531">
        <f t="shared" si="433"/>
        <v>469.66036931587286</v>
      </c>
      <c r="P531">
        <f t="shared" si="434"/>
        <v>1.5686671270137036</v>
      </c>
      <c r="Q531">
        <f t="shared" si="435"/>
        <v>650.71194248027928</v>
      </c>
      <c r="R531">
        <f t="shared" si="436"/>
        <v>1.5692595478788629</v>
      </c>
      <c r="S531">
        <f t="shared" si="437"/>
        <v>1.6902166533944395E-2</v>
      </c>
      <c r="T531">
        <f t="shared" si="438"/>
        <v>-1.5538933553798762</v>
      </c>
      <c r="U531">
        <f t="shared" si="439"/>
        <v>0.98432188027121903</v>
      </c>
      <c r="V531">
        <f t="shared" si="440"/>
        <v>-0.17730910362191318</v>
      </c>
      <c r="X531">
        <f t="shared" si="457"/>
        <v>-29.779278597069293</v>
      </c>
      <c r="Y531">
        <f t="shared" si="441"/>
        <v>-99.948190128156014</v>
      </c>
      <c r="Z531">
        <f t="shared" si="458"/>
        <v>80.051809871843986</v>
      </c>
      <c r="AC531">
        <v>1</v>
      </c>
      <c r="AD531">
        <f t="shared" si="442"/>
        <v>469.65930471558011</v>
      </c>
      <c r="AE531">
        <f t="shared" si="443"/>
        <v>-4.6772659564444877E-3</v>
      </c>
      <c r="AF531">
        <f t="shared" si="444"/>
        <v>2.61021424440105E-2</v>
      </c>
      <c r="AG531">
        <f t="shared" si="421"/>
        <v>17426.706783338494</v>
      </c>
      <c r="AH531">
        <f t="shared" si="422"/>
        <v>-3161.0180102125018</v>
      </c>
      <c r="AJ531">
        <f t="shared" si="445"/>
        <v>18000</v>
      </c>
      <c r="AK531">
        <f t="shared" si="446"/>
        <v>1064800.1030574599</v>
      </c>
      <c r="AL531">
        <v>1</v>
      </c>
      <c r="AM531">
        <f t="shared" si="447"/>
        <v>650.71117409066994</v>
      </c>
      <c r="AN531">
        <f t="shared" si="423"/>
        <v>1636.4022821603605</v>
      </c>
      <c r="AO531">
        <f t="shared" si="424"/>
        <v>-25.147251759902218</v>
      </c>
      <c r="AQ531">
        <f t="shared" si="448"/>
        <v>9.9513369670971991E-4</v>
      </c>
      <c r="AR531">
        <f t="shared" si="449"/>
        <v>-3.1545738185698116</v>
      </c>
      <c r="AT531">
        <f t="shared" si="418"/>
        <v>-9954.3227519012198</v>
      </c>
      <c r="AU531">
        <f t="shared" si="419"/>
        <v>-54976.978598150417</v>
      </c>
      <c r="AV531">
        <f t="shared" si="459"/>
        <v>-1.7499191727952175</v>
      </c>
      <c r="AW531">
        <f t="shared" si="460"/>
        <v>40708.584349888733</v>
      </c>
      <c r="AX531">
        <f t="shared" si="461"/>
        <v>-12634.469829715683</v>
      </c>
      <c r="AY531">
        <f t="shared" si="469"/>
        <v>-0.30093751522131656</v>
      </c>
      <c r="BA531">
        <f t="shared" si="450"/>
        <v>1.310780051585104</v>
      </c>
      <c r="BB531">
        <f t="shared" si="462"/>
        <v>2.3505964669556905</v>
      </c>
      <c r="BC531">
        <f t="shared" si="463"/>
        <v>-1.448981657573901</v>
      </c>
      <c r="BD531">
        <f t="shared" si="451"/>
        <v>-263.02053366571954</v>
      </c>
      <c r="BF531">
        <f t="shared" si="452"/>
        <v>-48.114753083334719</v>
      </c>
      <c r="BG531">
        <f t="shared" si="453"/>
        <v>-173.56808439536533</v>
      </c>
      <c r="BH531">
        <f t="shared" si="464"/>
        <v>6.4319156046346677</v>
      </c>
      <c r="BI531">
        <f t="shared" si="465"/>
        <v>6.4319156046346677</v>
      </c>
      <c r="BJ531">
        <f t="shared" si="454"/>
        <v>0</v>
      </c>
      <c r="BK531">
        <f t="shared" si="466"/>
        <v>0</v>
      </c>
      <c r="BM531">
        <f t="shared" si="467"/>
        <v>-50.465349550290412</v>
      </c>
      <c r="BN531">
        <f t="shared" si="455"/>
        <v>-90.547550729645792</v>
      </c>
      <c r="BQ531" s="66">
        <f t="shared" si="468"/>
        <v>19.252557267240828</v>
      </c>
    </row>
    <row r="532" spans="1:69" x14ac:dyDescent="0.2">
      <c r="A532">
        <f t="shared" si="420"/>
        <v>1590000</v>
      </c>
      <c r="B532">
        <f t="shared" si="456"/>
        <v>1590</v>
      </c>
      <c r="C532">
        <f t="shared" si="425"/>
        <v>98.908675104800324</v>
      </c>
      <c r="D532">
        <f t="shared" si="426"/>
        <v>1.5606858179218523</v>
      </c>
      <c r="F532">
        <f t="shared" si="427"/>
        <v>2.0139045162561379E-6</v>
      </c>
      <c r="G532">
        <f t="shared" si="428"/>
        <v>5.8399394173398917E-4</v>
      </c>
      <c r="H532">
        <f t="shared" si="429"/>
        <v>-3.1410086560582662</v>
      </c>
      <c r="J532">
        <f t="shared" si="430"/>
        <v>15</v>
      </c>
      <c r="M532">
        <f t="shared" si="431"/>
        <v>2.1216975836162361E-3</v>
      </c>
      <c r="N532">
        <f t="shared" si="432"/>
        <v>-1.5707963250000001</v>
      </c>
      <c r="O532">
        <f t="shared" si="433"/>
        <v>471.14194106182072</v>
      </c>
      <c r="P532">
        <f t="shared" si="434"/>
        <v>1.5686738225903589</v>
      </c>
      <c r="Q532">
        <f t="shared" si="435"/>
        <v>652.76465670147263</v>
      </c>
      <c r="R532">
        <f t="shared" si="436"/>
        <v>1.5692643805093907</v>
      </c>
      <c r="S532">
        <f t="shared" si="437"/>
        <v>1.6849030179809998E-2</v>
      </c>
      <c r="T532">
        <f t="shared" si="438"/>
        <v>-1.5539464993018735</v>
      </c>
      <c r="U532">
        <f t="shared" si="439"/>
        <v>0.98422514064290445</v>
      </c>
      <c r="V532">
        <f t="shared" si="440"/>
        <v>-0.17785673492233131</v>
      </c>
      <c r="X532">
        <f t="shared" si="457"/>
        <v>-29.807484752244093</v>
      </c>
      <c r="Y532">
        <f t="shared" si="441"/>
        <v>-99.980229762428436</v>
      </c>
      <c r="Z532">
        <f t="shared" si="458"/>
        <v>80.019770237571564</v>
      </c>
      <c r="AC532">
        <v>1</v>
      </c>
      <c r="AD532">
        <f t="shared" si="442"/>
        <v>471.1408798093201</v>
      </c>
      <c r="AE532">
        <f t="shared" si="443"/>
        <v>-4.7068220658927082E-3</v>
      </c>
      <c r="AF532">
        <f t="shared" si="444"/>
        <v>2.6184483587367E-2</v>
      </c>
      <c r="AG532">
        <f t="shared" si="421"/>
        <v>17423.281541397759</v>
      </c>
      <c r="AH532">
        <f t="shared" si="422"/>
        <v>-3170.132637611398</v>
      </c>
      <c r="AJ532">
        <f t="shared" si="445"/>
        <v>18000</v>
      </c>
      <c r="AK532">
        <f t="shared" si="446"/>
        <v>1068159.0939188399</v>
      </c>
      <c r="AL532">
        <v>1</v>
      </c>
      <c r="AM532">
        <f t="shared" si="447"/>
        <v>652.76389072817994</v>
      </c>
      <c r="AN532">
        <f t="shared" si="423"/>
        <v>1636.4020394877671</v>
      </c>
      <c r="AO532">
        <f t="shared" si="424"/>
        <v>-25.068172723613884</v>
      </c>
      <c r="AQ532">
        <f t="shared" si="448"/>
        <v>9.8888483555982401E-4</v>
      </c>
      <c r="AR532">
        <f t="shared" si="449"/>
        <v>-3.1446537770802405</v>
      </c>
      <c r="AT532">
        <f t="shared" si="418"/>
        <v>-9951.7399538080499</v>
      </c>
      <c r="AU532">
        <f t="shared" si="419"/>
        <v>-54793.323004380938</v>
      </c>
      <c r="AV532">
        <f t="shared" si="459"/>
        <v>-1.7504611005233262</v>
      </c>
      <c r="AW532">
        <f t="shared" si="460"/>
        <v>40701.378304754733</v>
      </c>
      <c r="AX532">
        <f t="shared" si="461"/>
        <v>-12637.545870277982</v>
      </c>
      <c r="AY532">
        <f t="shared" si="469"/>
        <v>-0.301056567340381</v>
      </c>
      <c r="BA532">
        <f t="shared" si="450"/>
        <v>1.306712687960871</v>
      </c>
      <c r="BB532">
        <f t="shared" si="462"/>
        <v>2.3236021609469173</v>
      </c>
      <c r="BC532">
        <f t="shared" si="463"/>
        <v>-1.4494045331829453</v>
      </c>
      <c r="BD532">
        <f t="shared" si="451"/>
        <v>-263.04476265340452</v>
      </c>
      <c r="BF532">
        <f t="shared" si="452"/>
        <v>-48.169107452035234</v>
      </c>
      <c r="BG532">
        <f t="shared" si="453"/>
        <v>-173.59059165022066</v>
      </c>
      <c r="BH532">
        <f t="shared" si="464"/>
        <v>6.4094083497793406</v>
      </c>
      <c r="BI532">
        <f t="shared" si="465"/>
        <v>6.4094083497793406</v>
      </c>
      <c r="BJ532">
        <f t="shared" si="454"/>
        <v>0</v>
      </c>
      <c r="BK532">
        <f t="shared" si="466"/>
        <v>0</v>
      </c>
      <c r="BM532">
        <f t="shared" si="467"/>
        <v>-50.492709612982154</v>
      </c>
      <c r="BN532">
        <f t="shared" si="455"/>
        <v>-90.545828996816141</v>
      </c>
      <c r="BQ532" s="66">
        <f t="shared" si="468"/>
        <v>19.225562961232054</v>
      </c>
    </row>
    <row r="533" spans="1:69" x14ac:dyDescent="0.2">
      <c r="A533">
        <f t="shared" si="420"/>
        <v>1595000</v>
      </c>
      <c r="B533">
        <f t="shared" si="456"/>
        <v>1595</v>
      </c>
      <c r="C533">
        <f t="shared" si="425"/>
        <v>99.219676930628907</v>
      </c>
      <c r="D533">
        <f t="shared" si="426"/>
        <v>1.5607175101573061</v>
      </c>
      <c r="F533">
        <f t="shared" si="427"/>
        <v>2.0012979228794697E-6</v>
      </c>
      <c r="G533">
        <f t="shared" si="428"/>
        <v>5.8216323273528939E-4</v>
      </c>
      <c r="H533">
        <f t="shared" si="429"/>
        <v>-3.1410104867672648</v>
      </c>
      <c r="J533">
        <f t="shared" si="430"/>
        <v>15</v>
      </c>
      <c r="M533">
        <f t="shared" si="431"/>
        <v>2.1150464940124236E-3</v>
      </c>
      <c r="N533">
        <f t="shared" si="432"/>
        <v>-1.5707963250000001</v>
      </c>
      <c r="O533">
        <f t="shared" si="433"/>
        <v>472.62351282875784</v>
      </c>
      <c r="P533">
        <f t="shared" si="434"/>
        <v>1.5686804761886657</v>
      </c>
      <c r="Q533">
        <f t="shared" si="435"/>
        <v>654.81737093781521</v>
      </c>
      <c r="R533">
        <f t="shared" si="436"/>
        <v>1.5692691828413654</v>
      </c>
      <c r="S533">
        <f t="shared" si="437"/>
        <v>1.6796226827541325E-2</v>
      </c>
      <c r="T533">
        <f t="shared" si="438"/>
        <v>-1.5539993101274308</v>
      </c>
      <c r="U533">
        <f t="shared" si="439"/>
        <v>0.98412812497494717</v>
      </c>
      <c r="V533">
        <f t="shared" si="440"/>
        <v>-0.17840425842622717</v>
      </c>
      <c r="X533">
        <f t="shared" si="457"/>
        <v>-29.835607577849991</v>
      </c>
      <c r="Y533">
        <f t="shared" si="441"/>
        <v>-100.0122590699483</v>
      </c>
      <c r="Z533">
        <f t="shared" si="458"/>
        <v>79.9877409300517</v>
      </c>
      <c r="AC533">
        <v>1</v>
      </c>
      <c r="AD533">
        <f t="shared" si="442"/>
        <v>472.62245490306009</v>
      </c>
      <c r="AE533">
        <f t="shared" si="443"/>
        <v>-4.736471265449428E-3</v>
      </c>
      <c r="AF533">
        <f t="shared" si="444"/>
        <v>2.6266824730723504E-2</v>
      </c>
      <c r="AG533">
        <f t="shared" si="421"/>
        <v>17419.846863866253</v>
      </c>
      <c r="AH533">
        <f t="shared" si="422"/>
        <v>-3179.242446520549</v>
      </c>
      <c r="AJ533">
        <f t="shared" si="445"/>
        <v>18000</v>
      </c>
      <c r="AK533">
        <f t="shared" si="446"/>
        <v>1071518.0847802199</v>
      </c>
      <c r="AL533">
        <v>1</v>
      </c>
      <c r="AM533">
        <f t="shared" si="447"/>
        <v>654.81660736569006</v>
      </c>
      <c r="AN533">
        <f t="shared" si="423"/>
        <v>1636.4017990937746</v>
      </c>
      <c r="AO533">
        <f t="shared" si="424"/>
        <v>-24.989589477176743</v>
      </c>
      <c r="AQ533">
        <f t="shared" si="448"/>
        <v>9.8269464896230891E-4</v>
      </c>
      <c r="AR533">
        <f t="shared" si="449"/>
        <v>-3.1347959301897652</v>
      </c>
      <c r="AT533">
        <f t="shared" si="418"/>
        <v>-9949.1578921403052</v>
      </c>
      <c r="AU533">
        <f t="shared" si="419"/>
        <v>-54610.789277916825</v>
      </c>
      <c r="AV533">
        <f t="shared" si="459"/>
        <v>-1.7510029562137985</v>
      </c>
      <c r="AW533">
        <f t="shared" si="460"/>
        <v>40694.14647093082</v>
      </c>
      <c r="AX533">
        <f t="shared" si="461"/>
        <v>-12640.720188391642</v>
      </c>
      <c r="AY533">
        <f t="shared" si="469"/>
        <v>-0.30117803485564504</v>
      </c>
      <c r="BA533">
        <f t="shared" si="450"/>
        <v>1.3026703182625445</v>
      </c>
      <c r="BB533">
        <f t="shared" si="462"/>
        <v>2.2966903545309769</v>
      </c>
      <c r="BC533">
        <f t="shared" si="463"/>
        <v>-1.4498249213581536</v>
      </c>
      <c r="BD533">
        <f t="shared" si="451"/>
        <v>-263.06884912162866</v>
      </c>
      <c r="BF533">
        <f t="shared" si="452"/>
        <v>-48.223293399966998</v>
      </c>
      <c r="BG533">
        <f t="shared" si="453"/>
        <v>-173.61296717900714</v>
      </c>
      <c r="BH533">
        <f t="shared" si="464"/>
        <v>6.3870328209928573</v>
      </c>
      <c r="BI533">
        <f t="shared" si="465"/>
        <v>6.3870328209928573</v>
      </c>
      <c r="BJ533">
        <f t="shared" si="454"/>
        <v>0</v>
      </c>
      <c r="BK533">
        <f t="shared" si="466"/>
        <v>0</v>
      </c>
      <c r="BM533">
        <f t="shared" si="467"/>
        <v>-50.519983754497979</v>
      </c>
      <c r="BN533">
        <f t="shared" si="455"/>
        <v>-90.544118057378483</v>
      </c>
      <c r="BQ533" s="66">
        <f t="shared" si="468"/>
        <v>19.198651154816112</v>
      </c>
    </row>
    <row r="534" spans="1:69" x14ac:dyDescent="0.2">
      <c r="A534">
        <f t="shared" si="420"/>
        <v>1600000</v>
      </c>
      <c r="B534">
        <f t="shared" si="456"/>
        <v>1600</v>
      </c>
      <c r="C534">
        <f t="shared" si="425"/>
        <v>99.53067885549072</v>
      </c>
      <c r="D534">
        <f t="shared" si="426"/>
        <v>1.5607490043363457</v>
      </c>
      <c r="F534">
        <f t="shared" si="427"/>
        <v>1.9888093318417009E-6</v>
      </c>
      <c r="G534">
        <f t="shared" si="428"/>
        <v>5.8034396573302771E-4</v>
      </c>
      <c r="H534">
        <f t="shared" si="429"/>
        <v>-3.1410123060342672</v>
      </c>
      <c r="J534">
        <f t="shared" si="430"/>
        <v>15</v>
      </c>
      <c r="M534">
        <f t="shared" si="431"/>
        <v>2.1084369737186344E-3</v>
      </c>
      <c r="N534">
        <f t="shared" si="432"/>
        <v>-1.5707963250000001</v>
      </c>
      <c r="O534">
        <f t="shared" si="433"/>
        <v>474.10508461648743</v>
      </c>
      <c r="P534">
        <f t="shared" si="434"/>
        <v>1.5686870882021686</v>
      </c>
      <c r="Q534">
        <f t="shared" si="435"/>
        <v>656.87008518916514</v>
      </c>
      <c r="R534">
        <f t="shared" si="436"/>
        <v>1.5692739551588351</v>
      </c>
      <c r="S534">
        <f t="shared" si="437"/>
        <v>1.6743753357004735E-2</v>
      </c>
      <c r="T534">
        <f t="shared" si="438"/>
        <v>-1.5540517909781546</v>
      </c>
      <c r="U534">
        <f t="shared" si="439"/>
        <v>0.98403083352344289</v>
      </c>
      <c r="V534">
        <f t="shared" si="440"/>
        <v>-0.17895167383724764</v>
      </c>
      <c r="X534">
        <f t="shared" si="457"/>
        <v>-29.863647609491824</v>
      </c>
      <c r="Y534">
        <f t="shared" si="441"/>
        <v>-100.04427807259404</v>
      </c>
      <c r="Z534">
        <f t="shared" si="458"/>
        <v>79.955721927405961</v>
      </c>
      <c r="AC534">
        <v>1</v>
      </c>
      <c r="AD534">
        <f t="shared" si="442"/>
        <v>474.10402999680002</v>
      </c>
      <c r="AE534">
        <f t="shared" si="443"/>
        <v>-4.7662135551146453E-3</v>
      </c>
      <c r="AF534">
        <f t="shared" si="444"/>
        <v>2.634916587408E-2</v>
      </c>
      <c r="AG534">
        <f t="shared" si="421"/>
        <v>17416.402762699305</v>
      </c>
      <c r="AH534">
        <f t="shared" si="422"/>
        <v>-3188.3474160203136</v>
      </c>
      <c r="AJ534">
        <f t="shared" si="445"/>
        <v>18000</v>
      </c>
      <c r="AK534">
        <f t="shared" si="446"/>
        <v>1074877.0756415999</v>
      </c>
      <c r="AL534">
        <v>1</v>
      </c>
      <c r="AM534">
        <f t="shared" si="447"/>
        <v>656.86932400320006</v>
      </c>
      <c r="AN534">
        <f t="shared" si="423"/>
        <v>1636.4015609499463</v>
      </c>
      <c r="AO534">
        <f t="shared" si="424"/>
        <v>-24.911497372604259</v>
      </c>
      <c r="AQ534">
        <f t="shared" si="448"/>
        <v>9.7656240463257771E-4</v>
      </c>
      <c r="AR534">
        <f t="shared" si="449"/>
        <v>-3.1249996948242487</v>
      </c>
      <c r="AT534">
        <f t="shared" ref="AT534:AT597" si="470">-AR534*AH534+AG534*AQ534</f>
        <v>-9946.5764978951702</v>
      </c>
      <c r="AU534">
        <f t="shared" ref="AU534:AU597" si="471">AQ534*AH534+AG534*AR534</f>
        <v>-54429.366938590923</v>
      </c>
      <c r="AV534">
        <f t="shared" si="459"/>
        <v>-1.7515447392350445</v>
      </c>
      <c r="AW534">
        <f t="shared" si="460"/>
        <v>40686.88893257406</v>
      </c>
      <c r="AX534">
        <f t="shared" si="461"/>
        <v>-12643.991714116066</v>
      </c>
      <c r="AY534">
        <f t="shared" si="469"/>
        <v>-0.30130189417217379</v>
      </c>
      <c r="BA534">
        <f t="shared" si="450"/>
        <v>1.2986527143693445</v>
      </c>
      <c r="BB534">
        <f t="shared" si="462"/>
        <v>2.2698605519002153</v>
      </c>
      <c r="BC534">
        <f t="shared" si="463"/>
        <v>-1.4502428450628706</v>
      </c>
      <c r="BD534">
        <f t="shared" si="451"/>
        <v>-263.09279438609479</v>
      </c>
      <c r="BF534">
        <f t="shared" si="452"/>
        <v>-48.27731196095651</v>
      </c>
      <c r="BG534">
        <f t="shared" si="453"/>
        <v>-173.63521219625417</v>
      </c>
      <c r="BH534">
        <f t="shared" si="464"/>
        <v>6.364787803745827</v>
      </c>
      <c r="BI534">
        <f t="shared" si="465"/>
        <v>6.364787803745827</v>
      </c>
      <c r="BJ534">
        <f t="shared" si="454"/>
        <v>0</v>
      </c>
      <c r="BK534">
        <f t="shared" si="466"/>
        <v>0</v>
      </c>
      <c r="BM534">
        <f t="shared" si="467"/>
        <v>-50.547172512856726</v>
      </c>
      <c r="BN534">
        <f t="shared" si="455"/>
        <v>-90.542417810159407</v>
      </c>
      <c r="BQ534" s="66">
        <f t="shared" si="468"/>
        <v>19.171821352185351</v>
      </c>
    </row>
    <row r="535" spans="1:69" x14ac:dyDescent="0.2">
      <c r="A535">
        <f t="shared" si="420"/>
        <v>1605000</v>
      </c>
      <c r="B535">
        <f t="shared" si="456"/>
        <v>1605</v>
      </c>
      <c r="C535">
        <f t="shared" si="425"/>
        <v>99.841680878460323</v>
      </c>
      <c r="D535">
        <f t="shared" si="426"/>
        <v>1.5607803023097173</v>
      </c>
      <c r="F535">
        <f t="shared" si="427"/>
        <v>1.9764372749970096E-6</v>
      </c>
      <c r="G535">
        <f t="shared" si="428"/>
        <v>5.7853603379184968E-4</v>
      </c>
      <c r="H535">
        <f t="shared" si="429"/>
        <v>-3.1410141139662082</v>
      </c>
      <c r="J535">
        <f t="shared" si="430"/>
        <v>15</v>
      </c>
      <c r="M535">
        <f t="shared" si="431"/>
        <v>2.1018686342366452E-3</v>
      </c>
      <c r="N535">
        <f t="shared" si="432"/>
        <v>-1.5707963250000001</v>
      </c>
      <c r="O535">
        <f t="shared" si="433"/>
        <v>475.58665642481509</v>
      </c>
      <c r="P535">
        <f t="shared" si="434"/>
        <v>1.5686936590195086</v>
      </c>
      <c r="Q535">
        <f t="shared" si="435"/>
        <v>658.92279945538201</v>
      </c>
      <c r="R535">
        <f t="shared" si="436"/>
        <v>1.5692786977423081</v>
      </c>
      <c r="S535">
        <f t="shared" si="437"/>
        <v>1.6691606686919512E-2</v>
      </c>
      <c r="T535">
        <f t="shared" si="438"/>
        <v>-1.5541039449367706</v>
      </c>
      <c r="U535">
        <f t="shared" si="439"/>
        <v>0.98393326654507818</v>
      </c>
      <c r="V535">
        <f t="shared" si="440"/>
        <v>-0.17949898085941565</v>
      </c>
      <c r="X535">
        <f t="shared" si="457"/>
        <v>-29.891605377746306</v>
      </c>
      <c r="Y535">
        <f t="shared" si="441"/>
        <v>-100.07628679178214</v>
      </c>
      <c r="Z535">
        <f t="shared" si="458"/>
        <v>79.923713208217862</v>
      </c>
      <c r="AC535">
        <v>1</v>
      </c>
      <c r="AD535">
        <f t="shared" si="442"/>
        <v>475.58560509054001</v>
      </c>
      <c r="AE535">
        <f t="shared" si="443"/>
        <v>-4.796048934888361E-3</v>
      </c>
      <c r="AF535">
        <f t="shared" si="444"/>
        <v>2.64315070174365E-2</v>
      </c>
      <c r="AG535">
        <f t="shared" si="421"/>
        <v>17412.949249877813</v>
      </c>
      <c r="AH535">
        <f t="shared" si="422"/>
        <v>-3197.4475253109576</v>
      </c>
      <c r="AJ535">
        <f t="shared" si="445"/>
        <v>18000</v>
      </c>
      <c r="AK535">
        <f t="shared" si="446"/>
        <v>1078236.06650298</v>
      </c>
      <c r="AL535">
        <v>1</v>
      </c>
      <c r="AM535">
        <f t="shared" si="447"/>
        <v>658.92204064070995</v>
      </c>
      <c r="AN535">
        <f t="shared" si="423"/>
        <v>1636.4013250282858</v>
      </c>
      <c r="AO535">
        <f t="shared" si="424"/>
        <v>-24.833891819828022</v>
      </c>
      <c r="AQ535">
        <f t="shared" si="448"/>
        <v>9.7048738167453911E-4</v>
      </c>
      <c r="AR535">
        <f t="shared" si="449"/>
        <v>-3.1152644951752704</v>
      </c>
      <c r="AT535">
        <f t="shared" si="470"/>
        <v>-9943.9957032625134</v>
      </c>
      <c r="AU535">
        <f t="shared" si="471"/>
        <v>-54249.045636910087</v>
      </c>
      <c r="AV535">
        <f t="shared" si="459"/>
        <v>-1.7520864489600272</v>
      </c>
      <c r="AW535">
        <f t="shared" si="460"/>
        <v>40679.605773007788</v>
      </c>
      <c r="AX535">
        <f t="shared" si="461"/>
        <v>-12647.359390528636</v>
      </c>
      <c r="AY535">
        <f t="shared" si="469"/>
        <v>-0.30142812198029484</v>
      </c>
      <c r="BA535">
        <f t="shared" si="450"/>
        <v>1.2946596509088713</v>
      </c>
      <c r="BB535">
        <f t="shared" si="462"/>
        <v>2.2431122616368198</v>
      </c>
      <c r="BC535">
        <f t="shared" si="463"/>
        <v>-1.4506583269797324</v>
      </c>
      <c r="BD535">
        <f t="shared" si="451"/>
        <v>-263.1165997464222</v>
      </c>
      <c r="BF535">
        <f t="shared" si="452"/>
        <v>-48.331164159402221</v>
      </c>
      <c r="BG535">
        <f t="shared" si="453"/>
        <v>-173.657327901668</v>
      </c>
      <c r="BH535">
        <f t="shared" si="464"/>
        <v>6.3426720983320024</v>
      </c>
      <c r="BI535">
        <f t="shared" si="465"/>
        <v>6.3426720983320024</v>
      </c>
      <c r="BJ535">
        <f t="shared" si="454"/>
        <v>0</v>
      </c>
      <c r="BK535">
        <f t="shared" si="466"/>
        <v>0</v>
      </c>
      <c r="BM535">
        <f t="shared" si="467"/>
        <v>-50.574276421039045</v>
      </c>
      <c r="BN535">
        <f t="shared" si="455"/>
        <v>-90.54072815524583</v>
      </c>
      <c r="BQ535" s="66">
        <f t="shared" si="468"/>
        <v>19.145073061921959</v>
      </c>
    </row>
    <row r="536" spans="1:69" x14ac:dyDescent="0.2">
      <c r="A536">
        <f t="shared" si="420"/>
        <v>1610000</v>
      </c>
      <c r="B536">
        <f t="shared" si="456"/>
        <v>1610</v>
      </c>
      <c r="C536">
        <f t="shared" si="425"/>
        <v>100.15268299862376</v>
      </c>
      <c r="D536">
        <f t="shared" si="426"/>
        <v>1.5608114059051799</v>
      </c>
      <c r="F536">
        <f t="shared" si="427"/>
        <v>1.9641803069614973E-6</v>
      </c>
      <c r="G536">
        <f t="shared" si="428"/>
        <v>5.7673933130480244E-4</v>
      </c>
      <c r="H536">
        <f t="shared" si="429"/>
        <v>-3.1410159106686955</v>
      </c>
      <c r="J536">
        <f t="shared" si="430"/>
        <v>15</v>
      </c>
      <c r="M536">
        <f t="shared" si="431"/>
        <v>2.0953410918942953E-3</v>
      </c>
      <c r="N536">
        <f t="shared" si="432"/>
        <v>-1.5707963250000001</v>
      </c>
      <c r="O536">
        <f t="shared" si="433"/>
        <v>477.06822825354902</v>
      </c>
      <c r="P536">
        <f t="shared" si="434"/>
        <v>1.5687001890244983</v>
      </c>
      <c r="Q536">
        <f t="shared" si="435"/>
        <v>660.97551373632746</v>
      </c>
      <c r="R536">
        <f t="shared" si="436"/>
        <v>1.5692834108688087</v>
      </c>
      <c r="S536">
        <f t="shared" si="437"/>
        <v>1.6639783774255044E-2</v>
      </c>
      <c r="T536">
        <f t="shared" si="438"/>
        <v>-1.5541557750477282</v>
      </c>
      <c r="U536">
        <f t="shared" si="439"/>
        <v>0.98383542429712856</v>
      </c>
      <c r="V536">
        <f t="shared" si="440"/>
        <v>-0.18004617919713112</v>
      </c>
      <c r="X536">
        <f t="shared" si="457"/>
        <v>-29.919481408224531</v>
      </c>
      <c r="Y536">
        <f t="shared" si="441"/>
        <v>-100.1082852484749</v>
      </c>
      <c r="Z536">
        <f t="shared" si="458"/>
        <v>79.8917147515251</v>
      </c>
      <c r="AC536">
        <v>1</v>
      </c>
      <c r="AD536">
        <f t="shared" si="442"/>
        <v>477.06718018428001</v>
      </c>
      <c r="AE536">
        <f t="shared" si="443"/>
        <v>-4.8259774047705751E-3</v>
      </c>
      <c r="AF536">
        <f t="shared" si="444"/>
        <v>2.6513848160793003E-2</v>
      </c>
      <c r="AG536">
        <f t="shared" si="421"/>
        <v>17409.486337408085</v>
      </c>
      <c r="AH536">
        <f t="shared" si="422"/>
        <v>-3206.5427537113364</v>
      </c>
      <c r="AJ536">
        <f t="shared" si="445"/>
        <v>18000</v>
      </c>
      <c r="AK536">
        <f t="shared" si="446"/>
        <v>1081595.05736436</v>
      </c>
      <c r="AL536">
        <v>1</v>
      </c>
      <c r="AM536">
        <f t="shared" si="447"/>
        <v>660.97475727821995</v>
      </c>
      <c r="AN536">
        <f t="shared" si="423"/>
        <v>1636.4010913012314</v>
      </c>
      <c r="AO536">
        <f t="shared" si="424"/>
        <v>-24.756768285798458</v>
      </c>
      <c r="AQ536">
        <f t="shared" si="448"/>
        <v>9.6446887036872903E-4</v>
      </c>
      <c r="AR536">
        <f t="shared" si="449"/>
        <v>-3.1055897625873072</v>
      </c>
      <c r="AT536">
        <f t="shared" si="470"/>
        <v>-9941.4154416028996</v>
      </c>
      <c r="AU536">
        <f t="shared" si="471"/>
        <v>-54069.815152025607</v>
      </c>
      <c r="AV536">
        <f t="shared" si="459"/>
        <v>-1.7526280847661988</v>
      </c>
      <c r="AW536">
        <f t="shared" si="460"/>
        <v>40672.297074737893</v>
      </c>
      <c r="AX536">
        <f t="shared" si="461"/>
        <v>-12650.822173523778</v>
      </c>
      <c r="AY536">
        <f t="shared" si="469"/>
        <v>-0.30155669525127443</v>
      </c>
      <c r="BA536">
        <f t="shared" si="450"/>
        <v>1.2906909052161335</v>
      </c>
      <c r="BB536">
        <f t="shared" si="462"/>
        <v>2.2164449966619606</v>
      </c>
      <c r="BC536">
        <f t="shared" si="463"/>
        <v>-1.4510713895149243</v>
      </c>
      <c r="BD536">
        <f t="shared" si="451"/>
        <v>-263.14026648639071</v>
      </c>
      <c r="BF536">
        <f t="shared" si="452"/>
        <v>-48.384851010388168</v>
      </c>
      <c r="BG536">
        <f t="shared" si="453"/>
        <v>-173.67931548035645</v>
      </c>
      <c r="BH536">
        <f t="shared" si="464"/>
        <v>6.3206845196435495</v>
      </c>
      <c r="BI536">
        <f t="shared" si="465"/>
        <v>6.3206845196435495</v>
      </c>
      <c r="BJ536">
        <f t="shared" si="454"/>
        <v>0</v>
      </c>
      <c r="BK536">
        <f t="shared" si="466"/>
        <v>0</v>
      </c>
      <c r="BM536">
        <f t="shared" si="467"/>
        <v>-50.601296007050124</v>
      </c>
      <c r="BN536">
        <f t="shared" si="455"/>
        <v>-90.539048993965778</v>
      </c>
      <c r="BQ536" s="66">
        <f t="shared" si="468"/>
        <v>19.118405796947098</v>
      </c>
    </row>
    <row r="537" spans="1:69" x14ac:dyDescent="0.2">
      <c r="A537">
        <f t="shared" si="420"/>
        <v>1615000</v>
      </c>
      <c r="B537">
        <f t="shared" si="456"/>
        <v>1615</v>
      </c>
      <c r="C537">
        <f t="shared" si="425"/>
        <v>100.46368521507837</v>
      </c>
      <c r="D537">
        <f t="shared" si="426"/>
        <v>1.5608423169278611</v>
      </c>
      <c r="F537">
        <f t="shared" si="427"/>
        <v>1.9520370046910193E-6</v>
      </c>
      <c r="G537">
        <f t="shared" si="428"/>
        <v>5.7495375397277149E-4</v>
      </c>
      <c r="H537">
        <f t="shared" si="429"/>
        <v>-3.1410176962460272</v>
      </c>
      <c r="J537">
        <f t="shared" si="430"/>
        <v>15</v>
      </c>
      <c r="M537">
        <f t="shared" si="431"/>
        <v>2.0888539677707835E-3</v>
      </c>
      <c r="N537">
        <f t="shared" si="432"/>
        <v>-1.5707963250000001</v>
      </c>
      <c r="O537">
        <f t="shared" si="433"/>
        <v>478.5498001024996</v>
      </c>
      <c r="P537">
        <f t="shared" si="434"/>
        <v>1.5687066785961976</v>
      </c>
      <c r="Q537">
        <f t="shared" si="435"/>
        <v>663.0282280318645</v>
      </c>
      <c r="R537">
        <f t="shared" si="436"/>
        <v>1.5692880948119299</v>
      </c>
      <c r="S537">
        <f t="shared" si="437"/>
        <v>1.6588281613639216E-2</v>
      </c>
      <c r="T537">
        <f t="shared" si="438"/>
        <v>-1.5542072843177914</v>
      </c>
      <c r="U537">
        <f t="shared" si="439"/>
        <v>0.98373730703745677</v>
      </c>
      <c r="V537">
        <f t="shared" si="440"/>
        <v>-0.18059326855517163</v>
      </c>
      <c r="X537">
        <f t="shared" si="457"/>
        <v>-29.947276221633452</v>
      </c>
      <c r="Y537">
        <f t="shared" si="441"/>
        <v>-100.14027346318763</v>
      </c>
      <c r="Z537">
        <f t="shared" si="458"/>
        <v>79.859726536812374</v>
      </c>
      <c r="AC537">
        <v>1</v>
      </c>
      <c r="AD537">
        <f t="shared" si="442"/>
        <v>478.54875527802011</v>
      </c>
      <c r="AE537">
        <f t="shared" si="443"/>
        <v>-4.8559989647612867E-3</v>
      </c>
      <c r="AF537">
        <f t="shared" si="444"/>
        <v>2.6596189304149503E-2</v>
      </c>
      <c r="AG537">
        <f t="shared" si="421"/>
        <v>17406.014037321816</v>
      </c>
      <c r="AH537">
        <f t="shared" si="422"/>
        <v>-3215.6330806576075</v>
      </c>
      <c r="AJ537">
        <f t="shared" si="445"/>
        <v>18000</v>
      </c>
      <c r="AK537">
        <f t="shared" si="446"/>
        <v>1084954.04822574</v>
      </c>
      <c r="AL537">
        <v>1</v>
      </c>
      <c r="AM537">
        <f t="shared" si="447"/>
        <v>663.02747391572996</v>
      </c>
      <c r="AN537">
        <f t="shared" si="423"/>
        <v>1636.400859741648</v>
      </c>
      <c r="AO537">
        <f t="shared" si="424"/>
        <v>-24.680122293602192</v>
      </c>
      <c r="AQ537">
        <f t="shared" si="448"/>
        <v>9.5850617196501723E-4</v>
      </c>
      <c r="AR537">
        <f t="shared" si="449"/>
        <v>-3.0959749354470056</v>
      </c>
      <c r="AT537">
        <f t="shared" si="470"/>
        <v>-9938.8356474261091</v>
      </c>
      <c r="AU537">
        <f t="shared" si="471"/>
        <v>-53891.665389741669</v>
      </c>
      <c r="AV537">
        <f t="shared" si="459"/>
        <v>-1.7531696460354391</v>
      </c>
      <c r="AW537">
        <f t="shared" si="460"/>
        <v>40664.962919469028</v>
      </c>
      <c r="AX537">
        <f t="shared" si="461"/>
        <v>-12654.379031615768</v>
      </c>
      <c r="AY537">
        <f t="shared" si="469"/>
        <v>-0.30168759123307137</v>
      </c>
      <c r="BA537">
        <f t="shared" si="450"/>
        <v>1.286746257293307</v>
      </c>
      <c r="BB537">
        <f t="shared" si="462"/>
        <v>2.1898582741856929</v>
      </c>
      <c r="BC537">
        <f t="shared" si="463"/>
        <v>-1.4514820548023677</v>
      </c>
      <c r="BD537">
        <f t="shared" si="451"/>
        <v>-263.16379587418061</v>
      </c>
      <c r="BF537">
        <f t="shared" si="452"/>
        <v>-48.438373519795739</v>
      </c>
      <c r="BG537">
        <f t="shared" si="453"/>
        <v>-173.70117610304953</v>
      </c>
      <c r="BH537">
        <f t="shared" si="464"/>
        <v>6.2988238969504664</v>
      </c>
      <c r="BI537">
        <f t="shared" si="465"/>
        <v>6.2988238969504664</v>
      </c>
      <c r="BJ537">
        <f t="shared" si="454"/>
        <v>0</v>
      </c>
      <c r="BK537">
        <f t="shared" si="466"/>
        <v>0</v>
      </c>
      <c r="BM537">
        <f t="shared" si="467"/>
        <v>-50.628231793981435</v>
      </c>
      <c r="BN537">
        <f t="shared" si="455"/>
        <v>-90.537380228868912</v>
      </c>
      <c r="BQ537" s="66">
        <f t="shared" si="468"/>
        <v>19.091819074470827</v>
      </c>
    </row>
    <row r="538" spans="1:69" x14ac:dyDescent="0.2">
      <c r="A538">
        <f t="shared" ref="A538:A591" si="472">A537+5000</f>
        <v>1620000</v>
      </c>
      <c r="B538">
        <f t="shared" si="456"/>
        <v>1620</v>
      </c>
      <c r="C538">
        <f t="shared" si="425"/>
        <v>100.77468752693268</v>
      </c>
      <c r="D538">
        <f t="shared" si="426"/>
        <v>1.5608730371606074</v>
      </c>
      <c r="F538">
        <f t="shared" si="427"/>
        <v>1.9400059670681288E-6</v>
      </c>
      <c r="G538">
        <f t="shared" si="428"/>
        <v>5.7317919878429756E-4</v>
      </c>
      <c r="H538">
        <f t="shared" si="429"/>
        <v>-3.1410194708012158</v>
      </c>
      <c r="J538">
        <f t="shared" si="430"/>
        <v>15</v>
      </c>
      <c r="M538">
        <f t="shared" si="431"/>
        <v>2.0824068876233426E-3</v>
      </c>
      <c r="N538">
        <f t="shared" si="432"/>
        <v>-1.5707963250000001</v>
      </c>
      <c r="O538">
        <f t="shared" si="433"/>
        <v>480.0313719714797</v>
      </c>
      <c r="P538">
        <f t="shared" si="434"/>
        <v>1.5687131281089868</v>
      </c>
      <c r="Q538">
        <f t="shared" si="435"/>
        <v>665.08094234185819</v>
      </c>
      <c r="R538">
        <f t="shared" si="436"/>
        <v>1.5692927498418876</v>
      </c>
      <c r="S538">
        <f t="shared" si="437"/>
        <v>1.6537097236777747E-2</v>
      </c>
      <c r="T538">
        <f t="shared" si="438"/>
        <v>-1.5542584757166209</v>
      </c>
      <c r="U538">
        <f t="shared" si="439"/>
        <v>0.98363891502451106</v>
      </c>
      <c r="V538">
        <f t="shared" si="440"/>
        <v>-0.18114024863869341</v>
      </c>
      <c r="X538">
        <f t="shared" si="457"/>
        <v>-29.974990333836402</v>
      </c>
      <c r="Y538">
        <f t="shared" si="441"/>
        <v>-100.17225145599596</v>
      </c>
      <c r="Z538">
        <f t="shared" si="458"/>
        <v>79.827748544004038</v>
      </c>
      <c r="AC538">
        <v>1</v>
      </c>
      <c r="AD538">
        <f t="shared" si="442"/>
        <v>480.0303303717601</v>
      </c>
      <c r="AE538">
        <f t="shared" si="443"/>
        <v>-4.8861136148604977E-3</v>
      </c>
      <c r="AF538">
        <f t="shared" si="444"/>
        <v>2.6678530447506E-2</v>
      </c>
      <c r="AG538">
        <f t="shared" si="421"/>
        <v>17402.532361675916</v>
      </c>
      <c r="AH538">
        <f t="shared" si="422"/>
        <v>-3224.718485701957</v>
      </c>
      <c r="AJ538">
        <f t="shared" si="445"/>
        <v>18000</v>
      </c>
      <c r="AK538">
        <f t="shared" si="446"/>
        <v>1088313.0390871197</v>
      </c>
      <c r="AL538">
        <v>1</v>
      </c>
      <c r="AM538">
        <f t="shared" si="447"/>
        <v>665.08019055323996</v>
      </c>
      <c r="AN538">
        <f t="shared" si="423"/>
        <v>1636.4006303228171</v>
      </c>
      <c r="AO538">
        <f t="shared" si="424"/>
        <v>-24.603949421595754</v>
      </c>
      <c r="AQ538">
        <f t="shared" si="448"/>
        <v>9.5259859847978605E-4</v>
      </c>
      <c r="AR538">
        <f t="shared" si="449"/>
        <v>-3.0864194590745067</v>
      </c>
      <c r="AT538">
        <f t="shared" si="470"/>
        <v>-9936.2562563700649</v>
      </c>
      <c r="AU538">
        <f t="shared" si="471"/>
        <v>-53714.586380560351</v>
      </c>
      <c r="AV538">
        <f t="shared" si="459"/>
        <v>-1.7537111321539915</v>
      </c>
      <c r="AW538">
        <f t="shared" si="460"/>
        <v>40657.603388120035</v>
      </c>
      <c r="AX538">
        <f t="shared" si="461"/>
        <v>-12658.028945745133</v>
      </c>
      <c r="AY538">
        <f t="shared" si="469"/>
        <v>-0.30182078744616847</v>
      </c>
      <c r="BA538">
        <f t="shared" si="450"/>
        <v>1.2828254897702023</v>
      </c>
      <c r="BB538">
        <f t="shared" si="462"/>
        <v>2.163351615657553</v>
      </c>
      <c r="BC538">
        <f t="shared" si="463"/>
        <v>-1.4518903447078231</v>
      </c>
      <c r="BD538">
        <f t="shared" si="451"/>
        <v>-263.18718916260775</v>
      </c>
      <c r="BF538">
        <f t="shared" si="452"/>
        <v>-48.491732684413947</v>
      </c>
      <c r="BG538">
        <f t="shared" si="453"/>
        <v>-173.72291092631556</v>
      </c>
      <c r="BH538">
        <f t="shared" si="464"/>
        <v>6.2770890736844365</v>
      </c>
      <c r="BI538">
        <f t="shared" si="465"/>
        <v>6.2770890736844365</v>
      </c>
      <c r="BJ538">
        <f t="shared" si="454"/>
        <v>0</v>
      </c>
      <c r="BK538">
        <f t="shared" si="466"/>
        <v>0</v>
      </c>
      <c r="BM538">
        <f t="shared" si="467"/>
        <v>-50.655084300071501</v>
      </c>
      <c r="BN538">
        <f t="shared" si="455"/>
        <v>-90.535721763707798</v>
      </c>
      <c r="BQ538" s="66">
        <f t="shared" si="468"/>
        <v>19.065312415942689</v>
      </c>
    </row>
    <row r="539" spans="1:69" x14ac:dyDescent="0.2">
      <c r="A539">
        <f t="shared" si="472"/>
        <v>1625000</v>
      </c>
      <c r="B539">
        <f t="shared" si="456"/>
        <v>1625</v>
      </c>
      <c r="C539">
        <f t="shared" si="425"/>
        <v>101.08568993330617</v>
      </c>
      <c r="D539">
        <f t="shared" si="426"/>
        <v>1.5609035683643255</v>
      </c>
      <c r="F539">
        <f t="shared" si="427"/>
        <v>1.9280858144978917E-6</v>
      </c>
      <c r="G539">
        <f t="shared" si="428"/>
        <v>5.7141556399576668E-4</v>
      </c>
      <c r="H539">
        <f t="shared" si="429"/>
        <v>-3.1410212344360042</v>
      </c>
      <c r="J539">
        <f t="shared" si="430"/>
        <v>15</v>
      </c>
      <c r="M539">
        <f t="shared" si="431"/>
        <v>2.0759994818152711E-3</v>
      </c>
      <c r="N539">
        <f t="shared" si="432"/>
        <v>-1.5707963250000001</v>
      </c>
      <c r="O539">
        <f t="shared" si="433"/>
        <v>481.51294386030435</v>
      </c>
      <c r="P539">
        <f t="shared" si="434"/>
        <v>1.5687195379326382</v>
      </c>
      <c r="Q539">
        <f t="shared" si="435"/>
        <v>667.13365666617506</v>
      </c>
      <c r="R539">
        <f t="shared" si="436"/>
        <v>1.5692973762255717</v>
      </c>
      <c r="S539">
        <f t="shared" si="437"/>
        <v>1.6486227711884217E-2</v>
      </c>
      <c r="T539">
        <f t="shared" si="438"/>
        <v>-1.5543093521773446</v>
      </c>
      <c r="U539">
        <f t="shared" si="439"/>
        <v>0.98354024851732402</v>
      </c>
      <c r="V539">
        <f t="shared" si="440"/>
        <v>-0.18168711915323191</v>
      </c>
      <c r="X539">
        <f t="shared" si="457"/>
        <v>-30.002624255912771</v>
      </c>
      <c r="Y539">
        <f t="shared" si="441"/>
        <v>-100.20421924654305</v>
      </c>
      <c r="Z539">
        <f t="shared" si="458"/>
        <v>79.795780753456953</v>
      </c>
      <c r="AC539">
        <v>1</v>
      </c>
      <c r="AD539">
        <f t="shared" si="442"/>
        <v>481.51190546550009</v>
      </c>
      <c r="AE539">
        <f t="shared" si="443"/>
        <v>-4.916321355068207E-3</v>
      </c>
      <c r="AF539">
        <f t="shared" si="444"/>
        <v>2.67608715908625E-2</v>
      </c>
      <c r="AG539">
        <f t="shared" si="421"/>
        <v>17399.04132255245</v>
      </c>
      <c r="AH539">
        <f t="shared" si="422"/>
        <v>-3233.7989485113635</v>
      </c>
      <c r="AJ539">
        <f t="shared" si="445"/>
        <v>18000</v>
      </c>
      <c r="AK539">
        <f t="shared" si="446"/>
        <v>1091672.0299485</v>
      </c>
      <c r="AL539">
        <v>1</v>
      </c>
      <c r="AM539">
        <f t="shared" si="447"/>
        <v>667.13290719074996</v>
      </c>
      <c r="AN539">
        <f t="shared" si="423"/>
        <v>1636.4004030184337</v>
      </c>
      <c r="AO539">
        <f t="shared" si="424"/>
        <v>-24.528245302555288</v>
      </c>
      <c r="AQ539">
        <f t="shared" si="448"/>
        <v>9.4674547249747011E-4</v>
      </c>
      <c r="AR539">
        <f t="shared" si="449"/>
        <v>-3.0769227856167776</v>
      </c>
      <c r="AT539">
        <f t="shared" si="470"/>
        <v>-9933.6772051802673</v>
      </c>
      <c r="AU539">
        <f t="shared" si="471"/>
        <v>-53538.56827776297</v>
      </c>
      <c r="AV539">
        <f t="shared" si="459"/>
        <v>-1.7542525425124047</v>
      </c>
      <c r="AW539">
        <f t="shared" si="460"/>
        <v>40650.218560839392</v>
      </c>
      <c r="AX539">
        <f t="shared" si="461"/>
        <v>-12661.770909088718</v>
      </c>
      <c r="AY539">
        <f t="shared" si="469"/>
        <v>-0.30195626167947859</v>
      </c>
      <c r="BA539">
        <f t="shared" si="450"/>
        <v>1.2789283878654287</v>
      </c>
      <c r="BB539">
        <f t="shared" si="462"/>
        <v>2.1369245467178635</v>
      </c>
      <c r="BC539">
        <f t="shared" si="463"/>
        <v>-1.4522962808329261</v>
      </c>
      <c r="BD539">
        <f t="shared" si="451"/>
        <v>-263.2104475893546</v>
      </c>
      <c r="BF539">
        <f t="shared" si="452"/>
        <v>-48.544929492047899</v>
      </c>
      <c r="BG539">
        <f t="shared" si="453"/>
        <v>-173.74452109277399</v>
      </c>
      <c r="BH539">
        <f t="shared" si="464"/>
        <v>6.2554789072260064</v>
      </c>
      <c r="BI539">
        <f t="shared" si="465"/>
        <v>6.2554789072260064</v>
      </c>
      <c r="BJ539">
        <f t="shared" si="454"/>
        <v>0</v>
      </c>
      <c r="BK539">
        <f t="shared" si="466"/>
        <v>0</v>
      </c>
      <c r="BM539">
        <f t="shared" si="467"/>
        <v>-50.681854038765763</v>
      </c>
      <c r="BN539">
        <f t="shared" si="455"/>
        <v>-90.534073503419407</v>
      </c>
      <c r="BQ539" s="66">
        <f t="shared" si="468"/>
        <v>19.038885347002999</v>
      </c>
    </row>
    <row r="540" spans="1:69" x14ac:dyDescent="0.2">
      <c r="A540">
        <f t="shared" si="472"/>
        <v>1630000</v>
      </c>
      <c r="B540">
        <f t="shared" si="456"/>
        <v>1630</v>
      </c>
      <c r="C540">
        <f t="shared" si="425"/>
        <v>101.39669243332909</v>
      </c>
      <c r="D540">
        <f t="shared" si="426"/>
        <v>1.5609339122783201</v>
      </c>
      <c r="F540">
        <f t="shared" si="427"/>
        <v>1.9162751885123787E-6</v>
      </c>
      <c r="G540">
        <f t="shared" si="428"/>
        <v>5.6966274911196394E-4</v>
      </c>
      <c r="H540">
        <f t="shared" si="429"/>
        <v>-3.1410229872508881</v>
      </c>
      <c r="J540">
        <f t="shared" si="430"/>
        <v>15</v>
      </c>
      <c r="M540">
        <f t="shared" si="431"/>
        <v>2.0696313852452855E-3</v>
      </c>
      <c r="N540">
        <f t="shared" si="432"/>
        <v>-1.5707963250000001</v>
      </c>
      <c r="O540">
        <f t="shared" si="433"/>
        <v>482.99451576879113</v>
      </c>
      <c r="P540">
        <f t="shared" si="434"/>
        <v>1.5687259084323872</v>
      </c>
      <c r="Q540">
        <f t="shared" si="435"/>
        <v>669.18637100468334</v>
      </c>
      <c r="R540">
        <f t="shared" si="436"/>
        <v>1.5693019742265975</v>
      </c>
      <c r="S540">
        <f t="shared" si="437"/>
        <v>1.6435670143120605E-2</v>
      </c>
      <c r="T540">
        <f t="shared" si="438"/>
        <v>-1.5543599165971171</v>
      </c>
      <c r="U540">
        <f t="shared" si="439"/>
        <v>0.98344130777550975</v>
      </c>
      <c r="V540">
        <f t="shared" si="440"/>
        <v>-0.18223387980470271</v>
      </c>
      <c r="X540">
        <f t="shared" si="457"/>
        <v>-30.030178494216656</v>
      </c>
      <c r="Y540">
        <f t="shared" si="441"/>
        <v>-100.23617685404648</v>
      </c>
      <c r="Z540">
        <f t="shared" si="458"/>
        <v>79.763823145953523</v>
      </c>
      <c r="AC540">
        <v>1</v>
      </c>
      <c r="AD540">
        <f t="shared" si="442"/>
        <v>482.99348055924003</v>
      </c>
      <c r="AE540">
        <f t="shared" si="443"/>
        <v>-4.9466221853844139E-3</v>
      </c>
      <c r="AF540">
        <f t="shared" si="444"/>
        <v>2.6843212734219003E-2</v>
      </c>
      <c r="AG540">
        <f t="shared" si="421"/>
        <v>17395.540932058528</v>
      </c>
      <c r="AH540">
        <f t="shared" si="422"/>
        <v>-3242.8744488663779</v>
      </c>
      <c r="AJ540">
        <f t="shared" si="445"/>
        <v>18000</v>
      </c>
      <c r="AK540">
        <f t="shared" si="446"/>
        <v>1095031.02080988</v>
      </c>
      <c r="AL540">
        <v>1</v>
      </c>
      <c r="AM540">
        <f t="shared" si="447"/>
        <v>669.18562382826008</v>
      </c>
      <c r="AN540">
        <f t="shared" si="423"/>
        <v>1636.4001778025913</v>
      </c>
      <c r="AO540">
        <f t="shared" si="424"/>
        <v>-24.453005622841903</v>
      </c>
      <c r="AQ540">
        <f t="shared" si="448"/>
        <v>9.4094612697635143E-4</v>
      </c>
      <c r="AR540">
        <f t="shared" si="449"/>
        <v>-3.0674843739429059</v>
      </c>
      <c r="AT540">
        <f t="shared" si="470"/>
        <v>-9931.0984316896484</v>
      </c>
      <c r="AU540">
        <f t="shared" si="471"/>
        <v>-53363.601355526684</v>
      </c>
      <c r="AV540">
        <f t="shared" si="459"/>
        <v>-1.754793876505472</v>
      </c>
      <c r="AW540">
        <f t="shared" si="460"/>
        <v>40642.808517020057</v>
      </c>
      <c r="AX540">
        <f t="shared" si="461"/>
        <v>-12665.603926873153</v>
      </c>
      <c r="AY540">
        <f t="shared" si="469"/>
        <v>-0.30209399198632414</v>
      </c>
      <c r="BA540">
        <f t="shared" si="450"/>
        <v>1.2750547393482417</v>
      </c>
      <c r="BB540">
        <f t="shared" si="462"/>
        <v>2.110576597149723</v>
      </c>
      <c r="BC540">
        <f t="shared" si="463"/>
        <v>-1.4526998845191479</v>
      </c>
      <c r="BD540">
        <f t="shared" si="451"/>
        <v>-263.23357237719745</v>
      </c>
      <c r="BF540">
        <f t="shared" si="452"/>
        <v>-48.597964921625803</v>
      </c>
      <c r="BG540">
        <f t="shared" si="453"/>
        <v>-173.76600773130431</v>
      </c>
      <c r="BH540">
        <f t="shared" si="464"/>
        <v>6.2339922686956868</v>
      </c>
      <c r="BI540">
        <f t="shared" si="465"/>
        <v>6.2339922686956868</v>
      </c>
      <c r="BJ540">
        <f t="shared" si="454"/>
        <v>0</v>
      </c>
      <c r="BK540">
        <f t="shared" si="466"/>
        <v>0</v>
      </c>
      <c r="BM540">
        <f t="shared" si="467"/>
        <v>-50.708541518775533</v>
      </c>
      <c r="BN540">
        <f t="shared" si="455"/>
        <v>-90.532435354106852</v>
      </c>
      <c r="BQ540" s="66">
        <f t="shared" si="468"/>
        <v>19.012537397434858</v>
      </c>
    </row>
    <row r="541" spans="1:69" x14ac:dyDescent="0.2">
      <c r="A541">
        <f t="shared" si="472"/>
        <v>1635000</v>
      </c>
      <c r="B541">
        <f t="shared" si="456"/>
        <v>1635</v>
      </c>
      <c r="C541">
        <f t="shared" si="425"/>
        <v>101.70769502614237</v>
      </c>
      <c r="D541">
        <f t="shared" si="426"/>
        <v>1.5609640706206225</v>
      </c>
      <c r="F541">
        <f t="shared" si="427"/>
        <v>1.9045727513836044E-6</v>
      </c>
      <c r="G541">
        <f t="shared" si="428"/>
        <v>5.6792065486698526E-4</v>
      </c>
      <c r="H541">
        <f t="shared" si="429"/>
        <v>-3.1410247293451334</v>
      </c>
      <c r="J541">
        <f t="shared" si="430"/>
        <v>15</v>
      </c>
      <c r="M541">
        <f t="shared" si="431"/>
        <v>2.0633022372781745E-3</v>
      </c>
      <c r="N541">
        <f t="shared" si="432"/>
        <v>-1.5707963250000001</v>
      </c>
      <c r="O541">
        <f t="shared" si="433"/>
        <v>484.47608769675946</v>
      </c>
      <c r="P541">
        <f t="shared" si="434"/>
        <v>1.5687322399690016</v>
      </c>
      <c r="Q541">
        <f t="shared" si="435"/>
        <v>671.23908535725263</v>
      </c>
      <c r="R541">
        <f t="shared" si="436"/>
        <v>1.5693065441053553</v>
      </c>
      <c r="S541">
        <f t="shared" si="437"/>
        <v>1.6385421670048063E-2</v>
      </c>
      <c r="T541">
        <f t="shared" si="438"/>
        <v>-1.5544101718376699</v>
      </c>
      <c r="U541">
        <f t="shared" si="439"/>
        <v>0.98334209305926212</v>
      </c>
      <c r="V541">
        <f t="shared" si="440"/>
        <v>-0.18278053029940231</v>
      </c>
      <c r="X541">
        <f t="shared" si="457"/>
        <v>-30.057653550434718</v>
      </c>
      <c r="Y541">
        <f t="shared" si="441"/>
        <v>-100.26812429730528</v>
      </c>
      <c r="Z541">
        <f t="shared" si="458"/>
        <v>79.731875702694722</v>
      </c>
      <c r="AC541">
        <v>1</v>
      </c>
      <c r="AD541">
        <f t="shared" si="442"/>
        <v>484.47505565298002</v>
      </c>
      <c r="AE541">
        <f t="shared" si="443"/>
        <v>-4.9770161058091201E-3</v>
      </c>
      <c r="AF541">
        <f t="shared" si="444"/>
        <v>2.69255538775755E-2</v>
      </c>
      <c r="AG541">
        <f t="shared" si="421"/>
        <v>17392.031202326219</v>
      </c>
      <c r="AH541">
        <f t="shared" si="422"/>
        <v>-3251.9449666599276</v>
      </c>
      <c r="AJ541">
        <f t="shared" si="445"/>
        <v>18000</v>
      </c>
      <c r="AK541">
        <f t="shared" si="446"/>
        <v>1098390.01167126</v>
      </c>
      <c r="AL541">
        <v>1</v>
      </c>
      <c r="AM541">
        <f t="shared" si="447"/>
        <v>671.23834046576997</v>
      </c>
      <c r="AN541">
        <f t="shared" si="423"/>
        <v>1636.399954649783</v>
      </c>
      <c r="AO541">
        <f t="shared" si="424"/>
        <v>-24.378226121582347</v>
      </c>
      <c r="AQ541">
        <f t="shared" si="448"/>
        <v>9.3519990505850563E-4</v>
      </c>
      <c r="AR541">
        <f t="shared" si="449"/>
        <v>-3.0581036895413134</v>
      </c>
      <c r="AT541">
        <f t="shared" si="470"/>
        <v>-9928.5198747988379</v>
      </c>
      <c r="AU541">
        <f t="shared" si="471"/>
        <v>-53189.676007075534</v>
      </c>
      <c r="AV541">
        <f t="shared" si="459"/>
        <v>-1.7553351335321736</v>
      </c>
      <c r="AW541">
        <f t="shared" si="460"/>
        <v>40635.373335314303</v>
      </c>
      <c r="AX541">
        <f t="shared" si="461"/>
        <v>-12669.527016191838</v>
      </c>
      <c r="AY541">
        <f t="shared" si="469"/>
        <v>-0.30223395668048786</v>
      </c>
      <c r="BA541">
        <f t="shared" si="450"/>
        <v>1.2712043345010513</v>
      </c>
      <c r="BB541">
        <f t="shared" si="462"/>
        <v>2.0843073008316333</v>
      </c>
      <c r="BC541">
        <f t="shared" si="463"/>
        <v>-1.4531011768516857</v>
      </c>
      <c r="BD541">
        <f t="shared" si="451"/>
        <v>-263.25656473422913</v>
      </c>
      <c r="BF541">
        <f t="shared" si="452"/>
        <v>-48.650839943304327</v>
      </c>
      <c r="BG541">
        <f t="shared" si="453"/>
        <v>-173.78737195725083</v>
      </c>
      <c r="BH541">
        <f t="shared" si="464"/>
        <v>6.2126280427491736</v>
      </c>
      <c r="BI541">
        <f t="shared" si="465"/>
        <v>6.2126280427491736</v>
      </c>
      <c r="BJ541">
        <f t="shared" si="454"/>
        <v>0</v>
      </c>
      <c r="BK541">
        <f t="shared" si="466"/>
        <v>0</v>
      </c>
      <c r="BM541">
        <f t="shared" si="467"/>
        <v>-50.735147244135959</v>
      </c>
      <c r="BN541">
        <f t="shared" si="455"/>
        <v>-90.530807223021725</v>
      </c>
      <c r="BQ541" s="66">
        <f t="shared" si="468"/>
        <v>18.986268101116771</v>
      </c>
    </row>
    <row r="542" spans="1:69" x14ac:dyDescent="0.2">
      <c r="A542">
        <f t="shared" si="472"/>
        <v>1640000</v>
      </c>
      <c r="B542">
        <f t="shared" si="456"/>
        <v>1640</v>
      </c>
      <c r="C542">
        <f t="shared" si="425"/>
        <v>102.01869771089741</v>
      </c>
      <c r="D542">
        <f t="shared" si="426"/>
        <v>1.5609940450883169</v>
      </c>
      <c r="F542">
        <f t="shared" si="427"/>
        <v>1.8929771857447174E-6</v>
      </c>
      <c r="G542">
        <f t="shared" si="428"/>
        <v>5.6618918320549703E-4</v>
      </c>
      <c r="H542">
        <f t="shared" si="429"/>
        <v>-3.1410264608167946</v>
      </c>
      <c r="J542">
        <f t="shared" si="430"/>
        <v>15</v>
      </c>
      <c r="M542">
        <f t="shared" si="431"/>
        <v>2.0570116816767169E-3</v>
      </c>
      <c r="N542">
        <f t="shared" si="432"/>
        <v>-1.5707963250000001</v>
      </c>
      <c r="O542">
        <f t="shared" si="433"/>
        <v>485.95765964403114</v>
      </c>
      <c r="P542">
        <f t="shared" si="434"/>
        <v>1.5687385328988492</v>
      </c>
      <c r="Q542">
        <f t="shared" si="435"/>
        <v>673.29179972375448</v>
      </c>
      <c r="R542">
        <f t="shared" si="436"/>
        <v>1.5693110861190602</v>
      </c>
      <c r="S542">
        <f t="shared" si="437"/>
        <v>1.6335479467087705E-2</v>
      </c>
      <c r="T542">
        <f t="shared" si="438"/>
        <v>-1.554460120725851</v>
      </c>
      <c r="U542">
        <f t="shared" si="439"/>
        <v>0.98324260462935442</v>
      </c>
      <c r="V542">
        <f t="shared" si="440"/>
        <v>-0.18332707034400886</v>
      </c>
      <c r="X542">
        <f t="shared" si="457"/>
        <v>-30.085049921643048</v>
      </c>
      <c r="Y542">
        <f t="shared" si="441"/>
        <v>-100.30006159470645</v>
      </c>
      <c r="Z542">
        <f t="shared" si="458"/>
        <v>79.699938405293551</v>
      </c>
      <c r="AC542">
        <v>1</v>
      </c>
      <c r="AD542">
        <f t="shared" si="442"/>
        <v>485.95663074672001</v>
      </c>
      <c r="AE542">
        <f t="shared" si="443"/>
        <v>-5.0075031163423246E-3</v>
      </c>
      <c r="AF542">
        <f t="shared" si="444"/>
        <v>2.7007895020932E-2</v>
      </c>
      <c r="AG542">
        <f t="shared" si="421"/>
        <v>17388.512145512406</v>
      </c>
      <c r="AH542">
        <f t="shared" si="422"/>
        <v>-3261.0104818961372</v>
      </c>
      <c r="AJ542">
        <f t="shared" si="445"/>
        <v>18000</v>
      </c>
      <c r="AK542">
        <f t="shared" si="446"/>
        <v>1101749.00253264</v>
      </c>
      <c r="AL542">
        <v>1</v>
      </c>
      <c r="AM542">
        <f t="shared" si="447"/>
        <v>673.29105710327997</v>
      </c>
      <c r="AN542">
        <f t="shared" si="423"/>
        <v>1636.399733534887</v>
      </c>
      <c r="AO542">
        <f t="shared" si="424"/>
        <v>-24.303902589864649</v>
      </c>
      <c r="AQ542">
        <f t="shared" si="448"/>
        <v>9.2950615988379682E-4</v>
      </c>
      <c r="AR542">
        <f t="shared" si="449"/>
        <v>-3.0487802044188537</v>
      </c>
      <c r="AT542">
        <f t="shared" si="470"/>
        <v>-9925.9414744568621</v>
      </c>
      <c r="AU542">
        <f t="shared" si="471"/>
        <v>-53016.782742865398</v>
      </c>
      <c r="AV542">
        <f t="shared" si="459"/>
        <v>-1.7558763129956185</v>
      </c>
      <c r="AW542">
        <f t="shared" si="460"/>
        <v>40627.913093647796</v>
      </c>
      <c r="AX542">
        <f t="shared" si="461"/>
        <v>-12673.539205825185</v>
      </c>
      <c r="AY542">
        <f t="shared" si="469"/>
        <v>-0.30237613433233546</v>
      </c>
      <c r="BA542">
        <f t="shared" si="450"/>
        <v>1.2673769660825953</v>
      </c>
      <c r="BB542">
        <f t="shared" si="462"/>
        <v>2.0581161956908516</v>
      </c>
      <c r="BC542">
        <f t="shared" si="463"/>
        <v>-1.4535001786632831</v>
      </c>
      <c r="BD542">
        <f t="shared" si="451"/>
        <v>-263.27942585407789</v>
      </c>
      <c r="BF542">
        <f t="shared" si="452"/>
        <v>-48.703555518572401</v>
      </c>
      <c r="BG542">
        <f t="shared" si="453"/>
        <v>-173.80861487262419</v>
      </c>
      <c r="BH542">
        <f t="shared" si="464"/>
        <v>6.1913851273758098</v>
      </c>
      <c r="BI542">
        <f t="shared" si="465"/>
        <v>6.1913851273758098</v>
      </c>
      <c r="BJ542">
        <f t="shared" si="454"/>
        <v>0</v>
      </c>
      <c r="BK542">
        <f t="shared" si="466"/>
        <v>0</v>
      </c>
      <c r="BM542">
        <f t="shared" si="467"/>
        <v>-50.761671714263258</v>
      </c>
      <c r="BN542">
        <f t="shared" si="455"/>
        <v>-90.529189018546376</v>
      </c>
      <c r="BQ542" s="66">
        <f t="shared" si="468"/>
        <v>18.960076995975989</v>
      </c>
    </row>
    <row r="543" spans="1:69" x14ac:dyDescent="0.2">
      <c r="A543">
        <f t="shared" si="472"/>
        <v>1645000</v>
      </c>
      <c r="B543">
        <f t="shared" si="456"/>
        <v>1645</v>
      </c>
      <c r="C543">
        <f t="shared" si="425"/>
        <v>102.3297004867559</v>
      </c>
      <c r="D543">
        <f t="shared" si="426"/>
        <v>1.5610238373578564</v>
      </c>
      <c r="F543">
        <f t="shared" si="427"/>
        <v>1.8814871942192346E-6</v>
      </c>
      <c r="G543">
        <f t="shared" si="428"/>
        <v>5.6446823726433875E-4</v>
      </c>
      <c r="H543">
        <f t="shared" si="429"/>
        <v>-3.1410281817627359</v>
      </c>
      <c r="J543">
        <f t="shared" si="430"/>
        <v>15</v>
      </c>
      <c r="M543">
        <f t="shared" si="431"/>
        <v>2.0507593665348421E-3</v>
      </c>
      <c r="N543">
        <f t="shared" si="432"/>
        <v>-1.5707963250000001</v>
      </c>
      <c r="O543">
        <f t="shared" si="433"/>
        <v>487.43923161043028</v>
      </c>
      <c r="P543">
        <f t="shared" si="434"/>
        <v>1.5687447875739657</v>
      </c>
      <c r="Q543">
        <f t="shared" si="435"/>
        <v>675.34451410406189</v>
      </c>
      <c r="R543">
        <f t="shared" si="436"/>
        <v>1.5693156005218005</v>
      </c>
      <c r="S543">
        <f t="shared" si="437"/>
        <v>1.6285840742991279E-2</v>
      </c>
      <c r="T543">
        <f t="shared" si="438"/>
        <v>-1.5545097660541545</v>
      </c>
      <c r="U543">
        <f t="shared" si="439"/>
        <v>0.98314284274713493</v>
      </c>
      <c r="V543">
        <f t="shared" si="440"/>
        <v>-0.18387349964558294</v>
      </c>
      <c r="X543">
        <f t="shared" si="457"/>
        <v>-30.112368100363284</v>
      </c>
      <c r="Y543">
        <f t="shared" si="441"/>
        <v>-100.33198876423175</v>
      </c>
      <c r="Z543">
        <f t="shared" si="458"/>
        <v>79.668011235768248</v>
      </c>
      <c r="AC543">
        <v>1</v>
      </c>
      <c r="AD543">
        <f t="shared" si="442"/>
        <v>487.43820584046011</v>
      </c>
      <c r="AE543">
        <f t="shared" si="443"/>
        <v>-5.0380832169840267E-3</v>
      </c>
      <c r="AF543">
        <f t="shared" si="444"/>
        <v>2.7090236164288503E-2</v>
      </c>
      <c r="AG543">
        <f t="shared" si="421"/>
        <v>17384.983773798758</v>
      </c>
      <c r="AH543">
        <f t="shared" si="422"/>
        <v>-3270.0709746891862</v>
      </c>
      <c r="AJ543">
        <f t="shared" si="445"/>
        <v>18000</v>
      </c>
      <c r="AK543">
        <f t="shared" si="446"/>
        <v>1105107.9933940198</v>
      </c>
      <c r="AL543">
        <v>1</v>
      </c>
      <c r="AM543">
        <f t="shared" si="447"/>
        <v>675.34377374078997</v>
      </c>
      <c r="AN543">
        <f t="shared" si="423"/>
        <v>1636.3995144331645</v>
      </c>
      <c r="AO543">
        <f t="shared" si="424"/>
        <v>-24.230030869948468</v>
      </c>
      <c r="AQ543">
        <f t="shared" si="448"/>
        <v>9.2386425440782569E-4</v>
      </c>
      <c r="AR543">
        <f t="shared" si="449"/>
        <v>-3.0395133970017465</v>
      </c>
      <c r="AT543">
        <f t="shared" si="470"/>
        <v>-9923.3631716422678</v>
      </c>
      <c r="AU543">
        <f t="shared" si="471"/>
        <v>-52844.912188802198</v>
      </c>
      <c r="AV543">
        <f t="shared" si="459"/>
        <v>-1.7564174143029894</v>
      </c>
      <c r="AW543">
        <f t="shared" si="460"/>
        <v>40620.42786923387</v>
      </c>
      <c r="AX543">
        <f t="shared" si="461"/>
        <v>-12677.639536064235</v>
      </c>
      <c r="AY543">
        <f t="shared" si="469"/>
        <v>-0.30252050376500556</v>
      </c>
      <c r="BA543">
        <f t="shared" si="450"/>
        <v>1.2635724292917447</v>
      </c>
      <c r="BB543">
        <f t="shared" si="462"/>
        <v>2.0320028236573422</v>
      </c>
      <c r="BC543">
        <f t="shared" si="463"/>
        <v>-1.4538969105379838</v>
      </c>
      <c r="BD543">
        <f t="shared" si="451"/>
        <v>-263.3021569161225</v>
      </c>
      <c r="BF543">
        <f t="shared" si="452"/>
        <v>-48.756112600353532</v>
      </c>
      <c r="BG543">
        <f t="shared" si="453"/>
        <v>-173.82973756629949</v>
      </c>
      <c r="BH543">
        <f t="shared" si="464"/>
        <v>6.1702624337005147</v>
      </c>
      <c r="BI543">
        <f t="shared" si="465"/>
        <v>6.1702624337005147</v>
      </c>
      <c r="BJ543">
        <f t="shared" si="454"/>
        <v>0</v>
      </c>
      <c r="BK543">
        <f t="shared" si="466"/>
        <v>0</v>
      </c>
      <c r="BM543">
        <f t="shared" si="467"/>
        <v>-50.788115424010876</v>
      </c>
      <c r="BN543">
        <f t="shared" si="455"/>
        <v>-90.527580650177001</v>
      </c>
      <c r="BQ543" s="66">
        <f t="shared" si="468"/>
        <v>18.933963623942478</v>
      </c>
    </row>
    <row r="544" spans="1:69" x14ac:dyDescent="0.2">
      <c r="A544">
        <f t="shared" si="472"/>
        <v>1650000</v>
      </c>
      <c r="B544">
        <f t="shared" si="456"/>
        <v>1650</v>
      </c>
      <c r="C544">
        <f t="shared" si="425"/>
        <v>102.64070335288972</v>
      </c>
      <c r="D544">
        <f t="shared" si="426"/>
        <v>1.5610534490853776</v>
      </c>
      <c r="F544">
        <f t="shared" si="427"/>
        <v>1.8701014990581307E-6</v>
      </c>
      <c r="G544">
        <f t="shared" si="428"/>
        <v>5.6275772135445912E-4</v>
      </c>
      <c r="H544">
        <f t="shared" si="429"/>
        <v>-3.1410298922786457</v>
      </c>
      <c r="J544">
        <f t="shared" si="430"/>
        <v>15</v>
      </c>
      <c r="M544">
        <f t="shared" si="431"/>
        <v>2.0445449442120091E-3</v>
      </c>
      <c r="N544">
        <f t="shared" si="432"/>
        <v>-1.5707963250000001</v>
      </c>
      <c r="O544">
        <f t="shared" si="433"/>
        <v>488.92080359578296</v>
      </c>
      <c r="P544">
        <f t="shared" si="434"/>
        <v>1.5687510043421193</v>
      </c>
      <c r="Q544">
        <f t="shared" si="435"/>
        <v>677.39722849804934</v>
      </c>
      <c r="R544">
        <f t="shared" si="436"/>
        <v>1.5693200875645841</v>
      </c>
      <c r="S544">
        <f t="shared" si="437"/>
        <v>1.6236502740321401E-2</v>
      </c>
      <c r="T544">
        <f t="shared" si="438"/>
        <v>-1.5545591105812415</v>
      </c>
      <c r="U544">
        <f t="shared" si="439"/>
        <v>0.9830428076745279</v>
      </c>
      <c r="V544">
        <f t="shared" si="440"/>
        <v>-0.18441981791156842</v>
      </c>
      <c r="X544">
        <f t="shared" si="457"/>
        <v>-30.139608574617785</v>
      </c>
      <c r="Y544">
        <f t="shared" si="441"/>
        <v>-100.36390582346421</v>
      </c>
      <c r="Z544">
        <f t="shared" si="458"/>
        <v>79.636094176535792</v>
      </c>
      <c r="AC544">
        <v>1</v>
      </c>
      <c r="AD544">
        <f t="shared" si="442"/>
        <v>488.91978093420011</v>
      </c>
      <c r="AE544">
        <f t="shared" si="443"/>
        <v>-5.0687564077342272E-3</v>
      </c>
      <c r="AF544">
        <f t="shared" si="444"/>
        <v>2.7172577307645003E-2</v>
      </c>
      <c r="AG544">
        <f t="shared" si="421"/>
        <v>17381.446099391556</v>
      </c>
      <c r="AH544">
        <f t="shared" si="422"/>
        <v>-3279.126425262175</v>
      </c>
      <c r="AJ544">
        <f t="shared" si="445"/>
        <v>18000</v>
      </c>
      <c r="AK544">
        <f t="shared" si="446"/>
        <v>1108466.9842553998</v>
      </c>
      <c r="AL544">
        <v>1</v>
      </c>
      <c r="AM544">
        <f t="shared" si="447"/>
        <v>677.39649037829997</v>
      </c>
      <c r="AN544">
        <f t="shared" si="423"/>
        <v>1636.399297320251</v>
      </c>
      <c r="AO544">
        <f t="shared" si="424"/>
        <v>-24.156606854489759</v>
      </c>
      <c r="AQ544">
        <f t="shared" si="448"/>
        <v>9.1827356122373171E-4</v>
      </c>
      <c r="AR544">
        <f t="shared" si="449"/>
        <v>-3.0303027520383146</v>
      </c>
      <c r="AT544">
        <f t="shared" si="470"/>
        <v>-9920.7849083446217</v>
      </c>
      <c r="AU544">
        <f t="shared" si="471"/>
        <v>-52674.055084492087</v>
      </c>
      <c r="AV544">
        <f t="shared" si="459"/>
        <v>-1.7569584368654874</v>
      </c>
      <c r="AW544">
        <f t="shared" si="460"/>
        <v>40612.917738587057</v>
      </c>
      <c r="AX544">
        <f t="shared" si="461"/>
        <v>-12681.827058537408</v>
      </c>
      <c r="AY544">
        <f t="shared" si="469"/>
        <v>-0.30266704405066869</v>
      </c>
      <c r="BA544">
        <f t="shared" si="450"/>
        <v>1.2597905217319396</v>
      </c>
      <c r="BB544">
        <f t="shared" si="462"/>
        <v>2.0059667306183742</v>
      </c>
      <c r="BC544">
        <f t="shared" si="463"/>
        <v>-1.4542913928148187</v>
      </c>
      <c r="BD544">
        <f t="shared" si="451"/>
        <v>-263.32475908570365</v>
      </c>
      <c r="BF544">
        <f t="shared" si="452"/>
        <v>-48.808512133106639</v>
      </c>
      <c r="BG544">
        <f t="shared" si="453"/>
        <v>-173.85074111421019</v>
      </c>
      <c r="BH544">
        <f t="shared" si="464"/>
        <v>6.1492588857898056</v>
      </c>
      <c r="BI544">
        <f t="shared" si="465"/>
        <v>6.1492588857898056</v>
      </c>
      <c r="BJ544">
        <f t="shared" si="454"/>
        <v>0</v>
      </c>
      <c r="BK544">
        <f t="shared" si="466"/>
        <v>0</v>
      </c>
      <c r="BM544">
        <f t="shared" si="467"/>
        <v>-50.814478863725014</v>
      </c>
      <c r="BN544">
        <f t="shared" si="455"/>
        <v>-90.525982028506533</v>
      </c>
      <c r="BQ544" s="66">
        <f t="shared" si="468"/>
        <v>18.90792753090351</v>
      </c>
    </row>
    <row r="545" spans="1:69" x14ac:dyDescent="0.2">
      <c r="A545">
        <f t="shared" si="472"/>
        <v>1655000</v>
      </c>
      <c r="B545">
        <f t="shared" si="456"/>
        <v>1655</v>
      </c>
      <c r="C545">
        <f t="shared" si="425"/>
        <v>102.95170630848072</v>
      </c>
      <c r="D545">
        <f t="shared" si="426"/>
        <v>1.5610828819070064</v>
      </c>
      <c r="F545">
        <f t="shared" si="427"/>
        <v>1.8588188417845939E-6</v>
      </c>
      <c r="G545">
        <f t="shared" si="428"/>
        <v>5.6105754094318023E-4</v>
      </c>
      <c r="H545">
        <f t="shared" si="429"/>
        <v>-3.1410315924590568</v>
      </c>
      <c r="J545">
        <f t="shared" si="430"/>
        <v>15</v>
      </c>
      <c r="M545">
        <f t="shared" si="431"/>
        <v>2.0383680712687704E-3</v>
      </c>
      <c r="N545">
        <f t="shared" si="432"/>
        <v>-1.5707963250000001</v>
      </c>
      <c r="O545">
        <f t="shared" si="433"/>
        <v>490.40237559991732</v>
      </c>
      <c r="P545">
        <f t="shared" si="434"/>
        <v>1.5687571835468759</v>
      </c>
      <c r="Q545">
        <f t="shared" si="435"/>
        <v>679.44994290559271</v>
      </c>
      <c r="R545">
        <f t="shared" si="436"/>
        <v>1.5693245474953854</v>
      </c>
      <c r="S545">
        <f t="shared" si="437"/>
        <v>1.6187462734941226E-2</v>
      </c>
      <c r="T545">
        <f t="shared" si="438"/>
        <v>-1.5546081570324499</v>
      </c>
      <c r="U545">
        <f t="shared" si="439"/>
        <v>0.98294249967402991</v>
      </c>
      <c r="V545">
        <f t="shared" si="440"/>
        <v>-0.18496602484979313</v>
      </c>
      <c r="X545">
        <f t="shared" si="457"/>
        <v>-30.166771827984007</v>
      </c>
      <c r="Y545">
        <f t="shared" si="441"/>
        <v>-100.39581278959442</v>
      </c>
      <c r="Z545">
        <f t="shared" si="458"/>
        <v>79.604187210405584</v>
      </c>
      <c r="AC545">
        <v>1</v>
      </c>
      <c r="AD545">
        <f t="shared" si="442"/>
        <v>490.40135602794004</v>
      </c>
      <c r="AE545">
        <f t="shared" si="443"/>
        <v>-5.0995226885929262E-3</v>
      </c>
      <c r="AF545">
        <f t="shared" si="444"/>
        <v>2.72549184510015E-2</v>
      </c>
      <c r="AG545">
        <f t="shared" si="421"/>
        <v>17377.899134521653</v>
      </c>
      <c r="AH545">
        <f t="shared" si="422"/>
        <v>-3288.1768139460137</v>
      </c>
      <c r="AJ545">
        <f t="shared" si="445"/>
        <v>18000</v>
      </c>
      <c r="AK545">
        <f t="shared" si="446"/>
        <v>1111825.97511678</v>
      </c>
      <c r="AL545">
        <v>1</v>
      </c>
      <c r="AM545">
        <f t="shared" si="447"/>
        <v>679.44920701580998</v>
      </c>
      <c r="AN545">
        <f t="shared" si="423"/>
        <v>1636.3990821721488</v>
      </c>
      <c r="AO545">
        <f t="shared" si="424"/>
        <v>-24.083626485779519</v>
      </c>
      <c r="AQ545">
        <f t="shared" si="448"/>
        <v>9.1273346238776002E-4</v>
      </c>
      <c r="AR545">
        <f t="shared" si="449"/>
        <v>-3.0211477605034855</v>
      </c>
      <c r="AT545">
        <f t="shared" si="470"/>
        <v>-9918.2066275464094</v>
      </c>
      <c r="AU545">
        <f t="shared" si="471"/>
        <v>-52504.202281523889</v>
      </c>
      <c r="AV545">
        <f t="shared" si="459"/>
        <v>-1.7574993800982766</v>
      </c>
      <c r="AW545">
        <f t="shared" si="460"/>
        <v>40605.382777536637</v>
      </c>
      <c r="AX545">
        <f t="shared" si="461"/>
        <v>-12686.10083604043</v>
      </c>
      <c r="AY545">
        <f t="shared" si="469"/>
        <v>-0.30281573450685068</v>
      </c>
      <c r="BA545">
        <f t="shared" si="450"/>
        <v>1.2560310433762472</v>
      </c>
      <c r="BB545">
        <f t="shared" si="462"/>
        <v>1.9800074663738005</v>
      </c>
      <c r="BC545">
        <f t="shared" si="463"/>
        <v>-1.4546836455914258</v>
      </c>
      <c r="BD545">
        <f t="shared" si="451"/>
        <v>-263.34723351433121</v>
      </c>
      <c r="BF545">
        <f t="shared" si="452"/>
        <v>-48.860755052925349</v>
      </c>
      <c r="BG545">
        <f t="shared" si="453"/>
        <v>-173.87162657953942</v>
      </c>
      <c r="BH545">
        <f t="shared" si="464"/>
        <v>6.1283734204605764</v>
      </c>
      <c r="BI545">
        <f t="shared" si="465"/>
        <v>6.1283734204605764</v>
      </c>
      <c r="BJ545">
        <f t="shared" si="454"/>
        <v>0</v>
      </c>
      <c r="BK545">
        <f t="shared" si="466"/>
        <v>0</v>
      </c>
      <c r="BM545">
        <f t="shared" si="467"/>
        <v>-50.840762519299147</v>
      </c>
      <c r="BN545">
        <f t="shared" si="455"/>
        <v>-90.524393065208187</v>
      </c>
      <c r="BQ545" s="66">
        <f t="shared" si="468"/>
        <v>18.881968266658937</v>
      </c>
    </row>
    <row r="546" spans="1:69" x14ac:dyDescent="0.2">
      <c r="A546">
        <f t="shared" si="472"/>
        <v>1660000</v>
      </c>
      <c r="B546">
        <f t="shared" si="456"/>
        <v>1660</v>
      </c>
      <c r="C546">
        <f t="shared" si="425"/>
        <v>103.26270935272065</v>
      </c>
      <c r="D546">
        <f t="shared" si="426"/>
        <v>1.5611121374391588</v>
      </c>
      <c r="F546">
        <f t="shared" si="427"/>
        <v>1.8476379828462505E-6</v>
      </c>
      <c r="G546">
        <f t="shared" si="428"/>
        <v>5.5936760263678277E-4</v>
      </c>
      <c r="H546">
        <f t="shared" si="429"/>
        <v>-3.1410332823973635</v>
      </c>
      <c r="J546">
        <f t="shared" si="430"/>
        <v>15</v>
      </c>
      <c r="M546">
        <f t="shared" si="431"/>
        <v>2.0322284084035029E-3</v>
      </c>
      <c r="N546">
        <f t="shared" si="432"/>
        <v>-1.5707963250000001</v>
      </c>
      <c r="O546">
        <f t="shared" si="433"/>
        <v>491.88394762266375</v>
      </c>
      <c r="P546">
        <f t="shared" si="434"/>
        <v>1.5687633255276618</v>
      </c>
      <c r="Q546">
        <f t="shared" si="435"/>
        <v>681.50265732656942</v>
      </c>
      <c r="R546">
        <f t="shared" si="436"/>
        <v>1.5693289805591919</v>
      </c>
      <c r="S546">
        <f t="shared" si="437"/>
        <v>1.6138718035513339E-2</v>
      </c>
      <c r="T546">
        <f t="shared" si="438"/>
        <v>-1.554656908100297</v>
      </c>
      <c r="U546">
        <f t="shared" si="439"/>
        <v>0.98284191900870843</v>
      </c>
      <c r="V546">
        <f t="shared" si="440"/>
        <v>-0.18551212016846974</v>
      </c>
      <c r="X546">
        <f t="shared" si="457"/>
        <v>-30.193858339648084</v>
      </c>
      <c r="Y546">
        <f t="shared" si="441"/>
        <v>-100.42770967942684</v>
      </c>
      <c r="Z546">
        <f t="shared" si="458"/>
        <v>79.57229032057316</v>
      </c>
      <c r="AC546">
        <v>1</v>
      </c>
      <c r="AD546">
        <f t="shared" si="442"/>
        <v>491.88293112168003</v>
      </c>
      <c r="AE546">
        <f t="shared" si="443"/>
        <v>-5.1303820595601244E-3</v>
      </c>
      <c r="AF546">
        <f t="shared" si="444"/>
        <v>2.7337259594357999E-2</v>
      </c>
      <c r="AG546">
        <f t="shared" si="421"/>
        <v>17374.342891444318</v>
      </c>
      <c r="AH546">
        <f t="shared" si="422"/>
        <v>-3297.2221211783358</v>
      </c>
      <c r="AJ546">
        <f t="shared" si="445"/>
        <v>18000</v>
      </c>
      <c r="AK546">
        <f t="shared" si="446"/>
        <v>1115184.96597816</v>
      </c>
      <c r="AL546">
        <v>1</v>
      </c>
      <c r="AM546">
        <f t="shared" si="447"/>
        <v>681.50192365331998</v>
      </c>
      <c r="AN546">
        <f t="shared" si="423"/>
        <v>1636.3988689652206</v>
      </c>
      <c r="AO546">
        <f t="shared" si="424"/>
        <v>-24.011085754996259</v>
      </c>
      <c r="AQ546">
        <f t="shared" si="448"/>
        <v>9.0724334924849857E-4</v>
      </c>
      <c r="AR546">
        <f t="shared" si="449"/>
        <v>-3.0120479195050152</v>
      </c>
      <c r="AT546">
        <f t="shared" si="470"/>
        <v>-9915.6282732052932</v>
      </c>
      <c r="AU546">
        <f t="shared" si="471"/>
        <v>-52335.344741782035</v>
      </c>
      <c r="AV546">
        <f t="shared" si="459"/>
        <v>-1.758040243420433</v>
      </c>
      <c r="AW546">
        <f t="shared" si="460"/>
        <v>40597.823061239615</v>
      </c>
      <c r="AX546">
        <f t="shared" si="461"/>
        <v>-12690.459942369329</v>
      </c>
      <c r="AY546">
        <f t="shared" si="469"/>
        <v>-0.30296655469282352</v>
      </c>
      <c r="BA546">
        <f t="shared" si="450"/>
        <v>1.2522937965330119</v>
      </c>
      <c r="BB546">
        <f t="shared" si="462"/>
        <v>1.9541245845918789</v>
      </c>
      <c r="BC546">
        <f t="shared" si="463"/>
        <v>-1.4550736887276094</v>
      </c>
      <c r="BD546">
        <f t="shared" si="451"/>
        <v>-263.3695813398881</v>
      </c>
      <c r="BF546">
        <f t="shared" si="452"/>
        <v>-48.912842287635911</v>
      </c>
      <c r="BG546">
        <f t="shared" si="453"/>
        <v>-173.89239501290737</v>
      </c>
      <c r="BH546">
        <f t="shared" si="464"/>
        <v>6.1076049870926283</v>
      </c>
      <c r="BI546">
        <f t="shared" si="465"/>
        <v>6.1076049870926283</v>
      </c>
      <c r="BJ546">
        <f t="shared" si="454"/>
        <v>0</v>
      </c>
      <c r="BK546">
        <f t="shared" si="466"/>
        <v>0</v>
      </c>
      <c r="BM546">
        <f t="shared" si="467"/>
        <v>-50.866966872227792</v>
      </c>
      <c r="BN546">
        <f t="shared" si="455"/>
        <v>-90.522813673019272</v>
      </c>
      <c r="BQ546" s="66">
        <f t="shared" si="468"/>
        <v>18.856085384877016</v>
      </c>
    </row>
    <row r="547" spans="1:69" x14ac:dyDescent="0.2">
      <c r="A547">
        <f t="shared" si="472"/>
        <v>1665000</v>
      </c>
      <c r="B547">
        <f t="shared" si="456"/>
        <v>1665</v>
      </c>
      <c r="C547">
        <f t="shared" si="425"/>
        <v>103.57371248481091</v>
      </c>
      <c r="D547">
        <f t="shared" si="426"/>
        <v>1.5611412172788381</v>
      </c>
      <c r="F547">
        <f t="shared" si="427"/>
        <v>1.8365577012747033E-6</v>
      </c>
      <c r="G547">
        <f t="shared" si="428"/>
        <v>5.57687814163403E-4</v>
      </c>
      <c r="H547">
        <f t="shared" si="429"/>
        <v>-3.1410349621858367</v>
      </c>
      <c r="J547">
        <f t="shared" si="430"/>
        <v>15</v>
      </c>
      <c r="M547">
        <f t="shared" si="431"/>
        <v>2.0261256203902797E-3</v>
      </c>
      <c r="N547">
        <f t="shared" si="432"/>
        <v>-1.5707963250000001</v>
      </c>
      <c r="O547">
        <f t="shared" si="433"/>
        <v>493.36551966385457</v>
      </c>
      <c r="P547">
        <f t="shared" si="434"/>
        <v>1.5687694306198261</v>
      </c>
      <c r="Q547">
        <f t="shared" si="435"/>
        <v>683.55537176085886</v>
      </c>
      <c r="R547">
        <f t="shared" si="436"/>
        <v>1.5693333869980475</v>
      </c>
      <c r="S547">
        <f t="shared" si="437"/>
        <v>1.609026598300763E-2</v>
      </c>
      <c r="T547">
        <f t="shared" si="438"/>
        <v>-1.554705366444971</v>
      </c>
      <c r="U547">
        <f t="shared" si="439"/>
        <v>0.98274106594220056</v>
      </c>
      <c r="V547">
        <f t="shared" si="440"/>
        <v>-0.18605810357619637</v>
      </c>
      <c r="X547">
        <f t="shared" si="457"/>
        <v>-30.220868584457541</v>
      </c>
      <c r="Y547">
        <f t="shared" si="441"/>
        <v>-100.45959650938595</v>
      </c>
      <c r="Z547">
        <f t="shared" si="458"/>
        <v>79.540403490614054</v>
      </c>
      <c r="AC547">
        <v>1</v>
      </c>
      <c r="AD547">
        <f t="shared" si="442"/>
        <v>493.36450621542002</v>
      </c>
      <c r="AE547">
        <f t="shared" si="443"/>
        <v>-5.1613345206358201E-3</v>
      </c>
      <c r="AF547">
        <f t="shared" si="444"/>
        <v>2.7419600737714503E-2</v>
      </c>
      <c r="AG547">
        <f t="shared" si="421"/>
        <v>17370.777382439188</v>
      </c>
      <c r="AH547">
        <f t="shared" si="422"/>
        <v>-3306.2623275024307</v>
      </c>
      <c r="AJ547">
        <f t="shared" si="445"/>
        <v>18000</v>
      </c>
      <c r="AK547">
        <f t="shared" si="446"/>
        <v>1118543.95683954</v>
      </c>
      <c r="AL547">
        <v>1</v>
      </c>
      <c r="AM547">
        <f t="shared" si="447"/>
        <v>683.55464029082998</v>
      </c>
      <c r="AN547">
        <f t="shared" si="423"/>
        <v>1636.3986576761845</v>
      </c>
      <c r="AO547">
        <f t="shared" si="424"/>
        <v>-23.938980701472005</v>
      </c>
      <c r="AQ547">
        <f t="shared" si="448"/>
        <v>9.0180262227970113E-4</v>
      </c>
      <c r="AR547">
        <f t="shared" si="449"/>
        <v>-3.0030027321914048</v>
      </c>
      <c r="AT547">
        <f t="shared" si="470"/>
        <v>-9913.0497902367933</v>
      </c>
      <c r="AU547">
        <f t="shared" si="471"/>
        <v>-52167.473535790428</v>
      </c>
      <c r="AV547">
        <f t="shared" si="459"/>
        <v>-1.7585810262548902</v>
      </c>
      <c r="AW547">
        <f t="shared" si="460"/>
        <v>40590.238664193792</v>
      </c>
      <c r="AX547">
        <f t="shared" si="461"/>
        <v>-12694.903462156446</v>
      </c>
      <c r="AY547">
        <f t="shared" si="469"/>
        <v>-0.30311948440605602</v>
      </c>
      <c r="BA547">
        <f t="shared" si="450"/>
        <v>1.248578585812107</v>
      </c>
      <c r="BB547">
        <f t="shared" si="462"/>
        <v>1.9283176427657684</v>
      </c>
      <c r="BC547">
        <f t="shared" si="463"/>
        <v>-1.4554615418488341</v>
      </c>
      <c r="BD547">
        <f t="shared" si="451"/>
        <v>-263.39180368683066</v>
      </c>
      <c r="BF547">
        <f t="shared" si="452"/>
        <v>-48.964774756893654</v>
      </c>
      <c r="BG547">
        <f t="shared" si="453"/>
        <v>-173.91304745255556</v>
      </c>
      <c r="BH547">
        <f t="shared" si="464"/>
        <v>6.0869525474444401</v>
      </c>
      <c r="BI547">
        <f t="shared" si="465"/>
        <v>6.0869525474444401</v>
      </c>
      <c r="BJ547">
        <f t="shared" si="454"/>
        <v>0</v>
      </c>
      <c r="BK547">
        <f t="shared" si="466"/>
        <v>0</v>
      </c>
      <c r="BM547">
        <f t="shared" si="467"/>
        <v>-50.893092399659423</v>
      </c>
      <c r="BN547">
        <f t="shared" si="455"/>
        <v>-90.521243765724918</v>
      </c>
      <c r="BQ547" s="66">
        <f t="shared" si="468"/>
        <v>18.830278443050904</v>
      </c>
    </row>
    <row r="548" spans="1:69" x14ac:dyDescent="0.2">
      <c r="A548">
        <f t="shared" si="472"/>
        <v>1670000</v>
      </c>
      <c r="B548">
        <f t="shared" si="456"/>
        <v>1670</v>
      </c>
      <c r="C548">
        <f t="shared" si="425"/>
        <v>103.88471570396254</v>
      </c>
      <c r="D548">
        <f t="shared" si="426"/>
        <v>1.5611701230039245</v>
      </c>
      <c r="F548">
        <f t="shared" si="427"/>
        <v>1.8255767943521811E-6</v>
      </c>
      <c r="G548">
        <f t="shared" si="428"/>
        <v>5.5601808435623936E-4</v>
      </c>
      <c r="H548">
        <f t="shared" si="429"/>
        <v>-3.141036631915644</v>
      </c>
      <c r="J548">
        <f t="shared" si="430"/>
        <v>15</v>
      </c>
      <c r="M548">
        <f t="shared" si="431"/>
        <v>2.0200593760178534E-3</v>
      </c>
      <c r="N548">
        <f t="shared" si="432"/>
        <v>-1.5707963250000001</v>
      </c>
      <c r="O548">
        <f t="shared" si="433"/>
        <v>494.84709172332401</v>
      </c>
      <c r="P548">
        <f t="shared" si="434"/>
        <v>1.568775499154702</v>
      </c>
      <c r="Q548">
        <f t="shared" si="435"/>
        <v>685.60808620834121</v>
      </c>
      <c r="R548">
        <f t="shared" si="436"/>
        <v>1.5693377670510982</v>
      </c>
      <c r="S548">
        <f t="shared" si="437"/>
        <v>1.6042103950218066E-2</v>
      </c>
      <c r="T548">
        <f t="shared" si="438"/>
        <v>-1.5547535346948163</v>
      </c>
      <c r="U548">
        <f t="shared" si="439"/>
        <v>0.9826399407387103</v>
      </c>
      <c r="V548">
        <f t="shared" si="440"/>
        <v>-0.18660397478195748</v>
      </c>
      <c r="X548">
        <f t="shared" si="457"/>
        <v>-30.247803032973298</v>
      </c>
      <c r="Y548">
        <f t="shared" si="441"/>
        <v>-100.4914732955225</v>
      </c>
      <c r="Z548">
        <f t="shared" si="458"/>
        <v>79.508526704477504</v>
      </c>
      <c r="AC548">
        <v>1</v>
      </c>
      <c r="AD548">
        <f t="shared" si="442"/>
        <v>494.84608130916001</v>
      </c>
      <c r="AE548">
        <f t="shared" si="443"/>
        <v>-5.1923800718200134E-3</v>
      </c>
      <c r="AF548">
        <f t="shared" si="444"/>
        <v>2.7501941881071003E-2</v>
      </c>
      <c r="AG548">
        <f t="shared" si="421"/>
        <v>17367.202619810138</v>
      </c>
      <c r="AH548">
        <f t="shared" si="422"/>
        <v>-3315.2974135661939</v>
      </c>
      <c r="AJ548">
        <f t="shared" si="445"/>
        <v>18000</v>
      </c>
      <c r="AK548">
        <f t="shared" si="446"/>
        <v>1121902.9477009198</v>
      </c>
      <c r="AL548">
        <v>1</v>
      </c>
      <c r="AM548">
        <f t="shared" si="447"/>
        <v>685.60735692833998</v>
      </c>
      <c r="AN548">
        <f t="shared" si="423"/>
        <v>1636.3984482821063</v>
      </c>
      <c r="AO548">
        <f t="shared" si="424"/>
        <v>-23.867307411971403</v>
      </c>
      <c r="AQ548">
        <f t="shared" si="448"/>
        <v>8.9641069091660772E-4</v>
      </c>
      <c r="AR548">
        <f t="shared" si="449"/>
        <v>-2.9940117076614698</v>
      </c>
      <c r="AT548">
        <f t="shared" si="470"/>
        <v>-9910.4711244972623</v>
      </c>
      <c r="AU548">
        <f t="shared" si="471"/>
        <v>-52000.579841085593</v>
      </c>
      <c r="AV548">
        <f t="shared" si="459"/>
        <v>-1.75912172802839</v>
      </c>
      <c r="AW548">
        <f t="shared" si="460"/>
        <v>40582.629660250182</v>
      </c>
      <c r="AX548">
        <f t="shared" si="461"/>
        <v>-12699.430490709385</v>
      </c>
      <c r="AY548">
        <f t="shared" si="469"/>
        <v>-0.30327450367873032</v>
      </c>
      <c r="BA548">
        <f t="shared" si="450"/>
        <v>1.2448852180917593</v>
      </c>
      <c r="BB548">
        <f t="shared" si="462"/>
        <v>1.9025862021705839</v>
      </c>
      <c r="BC548">
        <f t="shared" si="463"/>
        <v>-1.4558472243496596</v>
      </c>
      <c r="BD548">
        <f t="shared" si="451"/>
        <v>-263.4139016663853</v>
      </c>
      <c r="BF548">
        <f t="shared" si="452"/>
        <v>-49.016553372278096</v>
      </c>
      <c r="BG548">
        <f t="shared" si="453"/>
        <v>-173.93358492452805</v>
      </c>
      <c r="BH548">
        <f t="shared" si="464"/>
        <v>6.0664150754719515</v>
      </c>
      <c r="BI548">
        <f t="shared" si="465"/>
        <v>6.0664150754719515</v>
      </c>
      <c r="BJ548">
        <f t="shared" si="454"/>
        <v>0</v>
      </c>
      <c r="BK548">
        <f t="shared" si="466"/>
        <v>0</v>
      </c>
      <c r="BM548">
        <f t="shared" si="467"/>
        <v>-50.919139574448678</v>
      </c>
      <c r="BN548">
        <f t="shared" si="455"/>
        <v>-90.519683258142805</v>
      </c>
      <c r="BQ548" s="66">
        <f t="shared" si="468"/>
        <v>18.80454700245572</v>
      </c>
    </row>
    <row r="549" spans="1:69" x14ac:dyDescent="0.2">
      <c r="A549">
        <f t="shared" si="472"/>
        <v>1675000</v>
      </c>
      <c r="B549">
        <f t="shared" si="456"/>
        <v>1675</v>
      </c>
      <c r="C549">
        <f t="shared" si="425"/>
        <v>104.19571900939596</v>
      </c>
      <c r="D549">
        <f t="shared" si="426"/>
        <v>1.5611988561734611</v>
      </c>
      <c r="F549">
        <f t="shared" si="427"/>
        <v>1.8146940772851523E-6</v>
      </c>
      <c r="G549">
        <f t="shared" si="428"/>
        <v>5.5435832313705902E-4</v>
      </c>
      <c r="H549">
        <f t="shared" si="429"/>
        <v>-3.1410382916768631</v>
      </c>
      <c r="J549">
        <f t="shared" si="430"/>
        <v>15</v>
      </c>
      <c r="M549">
        <f t="shared" si="431"/>
        <v>2.0140293480297405E-3</v>
      </c>
      <c r="N549">
        <f t="shared" si="432"/>
        <v>-1.5707963250000001</v>
      </c>
      <c r="O549">
        <f t="shared" si="433"/>
        <v>496.32866380090849</v>
      </c>
      <c r="P549">
        <f t="shared" si="434"/>
        <v>1.5687815314596665</v>
      </c>
      <c r="Q549">
        <f t="shared" si="435"/>
        <v>687.66080066889822</v>
      </c>
      <c r="R549">
        <f t="shared" si="436"/>
        <v>1.5693421209546339</v>
      </c>
      <c r="S549">
        <f t="shared" si="437"/>
        <v>1.5994229341288024E-2</v>
      </c>
      <c r="T549">
        <f t="shared" si="438"/>
        <v>-1.5548014154468064</v>
      </c>
      <c r="U549">
        <f t="shared" si="439"/>
        <v>0.98253854366300775</v>
      </c>
      <c r="V549">
        <f t="shared" si="440"/>
        <v>-0.18714973349512462</v>
      </c>
      <c r="X549">
        <f t="shared" si="457"/>
        <v>-30.274662151520818</v>
      </c>
      <c r="Y549">
        <f t="shared" si="441"/>
        <v>-100.52334005351898</v>
      </c>
      <c r="Z549">
        <f t="shared" si="458"/>
        <v>79.476659946481021</v>
      </c>
      <c r="AC549">
        <v>1</v>
      </c>
      <c r="AD549">
        <f t="shared" si="442"/>
        <v>496.32765640290012</v>
      </c>
      <c r="AE549">
        <f t="shared" si="443"/>
        <v>-5.2235187131127059E-3</v>
      </c>
      <c r="AF549">
        <f t="shared" si="444"/>
        <v>2.7584283024427499E-2</v>
      </c>
      <c r="AG549">
        <f t="shared" si="421"/>
        <v>17363.618615885185</v>
      </c>
      <c r="AH549">
        <f t="shared" si="422"/>
        <v>-3324.3273601211022</v>
      </c>
      <c r="AJ549">
        <f t="shared" si="445"/>
        <v>18000</v>
      </c>
      <c r="AK549">
        <f t="shared" si="446"/>
        <v>1125261.9385622998</v>
      </c>
      <c r="AL549">
        <v>1</v>
      </c>
      <c r="AM549">
        <f t="shared" si="447"/>
        <v>687.66007356584998</v>
      </c>
      <c r="AN549">
        <f t="shared" si="423"/>
        <v>1636.3982407603937</v>
      </c>
      <c r="AO549">
        <f t="shared" si="424"/>
        <v>-23.796062019983829</v>
      </c>
      <c r="AQ549">
        <f t="shared" si="448"/>
        <v>8.9106697339568072E-4</v>
      </c>
      <c r="AR549">
        <f t="shared" si="449"/>
        <v>-2.9850743608755304</v>
      </c>
      <c r="AT549">
        <f t="shared" si="470"/>
        <v>-9907.8922227672847</v>
      </c>
      <c r="AU549">
        <f t="shared" si="471"/>
        <v>-51834.654940619286</v>
      </c>
      <c r="AV549">
        <f t="shared" si="459"/>
        <v>-1.7596623481714309</v>
      </c>
      <c r="AW549">
        <f t="shared" si="460"/>
        <v>40574.996122625387</v>
      </c>
      <c r="AX549">
        <f t="shared" si="461"/>
        <v>-12704.040133852865</v>
      </c>
      <c r="AY549">
        <f t="shared" si="469"/>
        <v>-0.30343159277431692</v>
      </c>
      <c r="BA549">
        <f t="shared" si="450"/>
        <v>1.2412135024859465</v>
      </c>
      <c r="BB549">
        <f t="shared" si="462"/>
        <v>1.8769298278210753</v>
      </c>
      <c r="BC549">
        <f t="shared" si="463"/>
        <v>-1.4562307553971139</v>
      </c>
      <c r="BD549">
        <f t="shared" si="451"/>
        <v>-263.43587637674176</v>
      </c>
      <c r="BF549">
        <f t="shared" si="452"/>
        <v>-49.068179037386642</v>
      </c>
      <c r="BG549">
        <f t="shared" si="453"/>
        <v>-173.95400844284913</v>
      </c>
      <c r="BH549">
        <f t="shared" si="464"/>
        <v>6.0459915571508702</v>
      </c>
      <c r="BI549">
        <f t="shared" si="465"/>
        <v>6.0459915571508702</v>
      </c>
      <c r="BJ549">
        <f t="shared" si="454"/>
        <v>0</v>
      </c>
      <c r="BK549">
        <f t="shared" si="466"/>
        <v>0</v>
      </c>
      <c r="BM549">
        <f t="shared" si="467"/>
        <v>-50.945108865207722</v>
      </c>
      <c r="BN549">
        <f t="shared" si="455"/>
        <v>-90.518132066107412</v>
      </c>
      <c r="BQ549" s="66">
        <f t="shared" si="468"/>
        <v>18.778890628106211</v>
      </c>
    </row>
    <row r="550" spans="1:69" x14ac:dyDescent="0.2">
      <c r="A550">
        <f t="shared" si="472"/>
        <v>1680000</v>
      </c>
      <c r="B550">
        <f t="shared" si="456"/>
        <v>1680</v>
      </c>
      <c r="C550">
        <f t="shared" si="425"/>
        <v>104.50672240034082</v>
      </c>
      <c r="D550">
        <f t="shared" si="426"/>
        <v>1.5612274183279331</v>
      </c>
      <c r="F550">
        <f t="shared" si="427"/>
        <v>1.8039083828847258E-6</v>
      </c>
      <c r="G550">
        <f t="shared" si="428"/>
        <v>5.5270844149999754E-4</v>
      </c>
      <c r="H550">
        <f t="shared" si="429"/>
        <v>-3.1410399415585002</v>
      </c>
      <c r="J550">
        <f t="shared" si="430"/>
        <v>15</v>
      </c>
      <c r="M550">
        <f t="shared" si="431"/>
        <v>2.0080352130653662E-3</v>
      </c>
      <c r="N550">
        <f t="shared" si="432"/>
        <v>-1.5707963250000001</v>
      </c>
      <c r="O550">
        <f t="shared" si="433"/>
        <v>497.81023589644616</v>
      </c>
      <c r="P550">
        <f t="shared" si="434"/>
        <v>1.5687875278581993</v>
      </c>
      <c r="Q550">
        <f t="shared" si="435"/>
        <v>689.71351514241337</v>
      </c>
      <c r="R550">
        <f t="shared" si="436"/>
        <v>1.5693464489421316</v>
      </c>
      <c r="S550">
        <f t="shared" si="437"/>
        <v>1.5946639591244195E-2</v>
      </c>
      <c r="T550">
        <f t="shared" si="438"/>
        <v>-1.5548490112670126</v>
      </c>
      <c r="U550">
        <f t="shared" si="439"/>
        <v>0.98243687498042653</v>
      </c>
      <c r="V550">
        <f t="shared" si="440"/>
        <v>-0.18769537942545714</v>
      </c>
      <c r="X550">
        <f t="shared" si="457"/>
        <v>-30.301446402240551</v>
      </c>
      <c r="Y550">
        <f t="shared" si="441"/>
        <v>-100.55519679869606</v>
      </c>
      <c r="Z550">
        <f t="shared" si="458"/>
        <v>79.444803201303941</v>
      </c>
      <c r="AC550">
        <v>1</v>
      </c>
      <c r="AD550">
        <f t="shared" si="442"/>
        <v>497.80923149664005</v>
      </c>
      <c r="AE550">
        <f t="shared" si="443"/>
        <v>-5.2547504445138969E-3</v>
      </c>
      <c r="AF550">
        <f t="shared" si="444"/>
        <v>2.7666624167784003E-2</v>
      </c>
      <c r="AG550">
        <f t="shared" si="421"/>
        <v>17360.025383016367</v>
      </c>
      <c r="AH550">
        <f t="shared" si="422"/>
        <v>-3333.3521480211907</v>
      </c>
      <c r="AJ550">
        <f t="shared" si="445"/>
        <v>18000</v>
      </c>
      <c r="AK550">
        <f t="shared" si="446"/>
        <v>1128620.9294236798</v>
      </c>
      <c r="AL550">
        <v>1</v>
      </c>
      <c r="AM550">
        <f t="shared" si="447"/>
        <v>689.71279020335999</v>
      </c>
      <c r="AN550">
        <f t="shared" si="423"/>
        <v>1636.3980350887894</v>
      </c>
      <c r="AO550">
        <f t="shared" si="424"/>
        <v>-23.725240705028025</v>
      </c>
      <c r="AQ550">
        <f t="shared" si="448"/>
        <v>8.8577089659767428E-4</v>
      </c>
      <c r="AR550">
        <f t="shared" si="449"/>
        <v>-2.9761902125681856</v>
      </c>
      <c r="AT550">
        <f t="shared" si="470"/>
        <v>-9905.3130327353338</v>
      </c>
      <c r="AU550">
        <f t="shared" si="471"/>
        <v>-51669.690221189405</v>
      </c>
      <c r="AV550">
        <f t="shared" si="459"/>
        <v>-1.7602028861182193</v>
      </c>
      <c r="AW550">
        <f t="shared" si="460"/>
        <v>40567.338123913563</v>
      </c>
      <c r="AX550">
        <f t="shared" si="461"/>
        <v>-12708.731507773353</v>
      </c>
      <c r="AY550">
        <f t="shared" si="469"/>
        <v>-0.30359073218421051</v>
      </c>
      <c r="BA550">
        <f t="shared" si="450"/>
        <v>1.2375632503123484</v>
      </c>
      <c r="BB550">
        <f t="shared" si="462"/>
        <v>1.8513480884298603</v>
      </c>
      <c r="BC550">
        <f t="shared" si="463"/>
        <v>-1.4566121539340089</v>
      </c>
      <c r="BD550">
        <f t="shared" si="451"/>
        <v>-263.45772890324326</v>
      </c>
      <c r="BF550">
        <f t="shared" si="452"/>
        <v>-49.11965264792692</v>
      </c>
      <c r="BG550">
        <f t="shared" si="453"/>
        <v>-173.97431900969835</v>
      </c>
      <c r="BH550">
        <f t="shared" si="464"/>
        <v>6.0256809903016517</v>
      </c>
      <c r="BI550">
        <f t="shared" si="465"/>
        <v>6.0256809903016517</v>
      </c>
      <c r="BJ550">
        <f t="shared" si="454"/>
        <v>0</v>
      </c>
      <c r="BK550">
        <f t="shared" si="466"/>
        <v>0</v>
      </c>
      <c r="BM550">
        <f t="shared" si="467"/>
        <v>-50.971000736356785</v>
      </c>
      <c r="BN550">
        <f t="shared" si="455"/>
        <v>-90.516590106455098</v>
      </c>
      <c r="BQ550" s="66">
        <f t="shared" si="468"/>
        <v>18.753308888714997</v>
      </c>
    </row>
    <row r="551" spans="1:69" x14ac:dyDescent="0.2">
      <c r="A551">
        <f t="shared" si="472"/>
        <v>1685000</v>
      </c>
      <c r="B551">
        <f t="shared" si="456"/>
        <v>1685</v>
      </c>
      <c r="C551">
        <f t="shared" si="425"/>
        <v>104.81772587603601</v>
      </c>
      <c r="D551">
        <f t="shared" si="426"/>
        <v>1.5612558109895445</v>
      </c>
      <c r="F551">
        <f t="shared" si="427"/>
        <v>1.7932185612536761E-6</v>
      </c>
      <c r="G551">
        <f t="shared" si="428"/>
        <v>5.510683514956498E-4</v>
      </c>
      <c r="H551">
        <f t="shared" si="429"/>
        <v>-3.1410415816485044</v>
      </c>
      <c r="J551">
        <f t="shared" si="430"/>
        <v>15</v>
      </c>
      <c r="M551">
        <f t="shared" si="431"/>
        <v>2.0020766516022641E-3</v>
      </c>
      <c r="N551">
        <f t="shared" si="432"/>
        <v>-1.5707963250000001</v>
      </c>
      <c r="O551">
        <f t="shared" si="433"/>
        <v>499.2918080097773</v>
      </c>
      <c r="P551">
        <f t="shared" si="434"/>
        <v>1.5687934886699402</v>
      </c>
      <c r="Q551">
        <f t="shared" si="435"/>
        <v>691.76622962877116</v>
      </c>
      <c r="R551">
        <f t="shared" si="436"/>
        <v>1.5693507512442975</v>
      </c>
      <c r="S551">
        <f t="shared" si="437"/>
        <v>1.5899332165538689E-2</v>
      </c>
      <c r="T551">
        <f t="shared" si="438"/>
        <v>-1.5548963246910603</v>
      </c>
      <c r="U551">
        <f t="shared" si="439"/>
        <v>0.98233493495686186</v>
      </c>
      <c r="V551">
        <f t="shared" si="440"/>
        <v>-0.18824091228310294</v>
      </c>
      <c r="X551">
        <f t="shared" si="457"/>
        <v>-30.32815624313762</v>
      </c>
      <c r="Y551">
        <f t="shared" si="441"/>
        <v>-100.58704354601777</v>
      </c>
      <c r="Z551">
        <f t="shared" si="458"/>
        <v>79.412956453982233</v>
      </c>
      <c r="AC551">
        <v>1</v>
      </c>
      <c r="AD551">
        <f t="shared" si="442"/>
        <v>499.29080659038004</v>
      </c>
      <c r="AE551">
        <f t="shared" si="443"/>
        <v>-5.2860752660235863E-3</v>
      </c>
      <c r="AF551">
        <f t="shared" si="444"/>
        <v>2.7748965311140503E-2</v>
      </c>
      <c r="AG551">
        <f t="shared" si="421"/>
        <v>17356.422933579699</v>
      </c>
      <c r="AH551">
        <f t="shared" si="422"/>
        <v>-3342.3717582220793</v>
      </c>
      <c r="AJ551">
        <f t="shared" si="445"/>
        <v>18000</v>
      </c>
      <c r="AK551">
        <f t="shared" si="446"/>
        <v>1131979.9202850601</v>
      </c>
      <c r="AL551">
        <v>1</v>
      </c>
      <c r="AM551">
        <f t="shared" si="447"/>
        <v>691.76550684086999</v>
      </c>
      <c r="AN551">
        <f t="shared" si="423"/>
        <v>1636.3978312453673</v>
      </c>
      <c r="AO551">
        <f t="shared" si="424"/>
        <v>-23.654839691969244</v>
      </c>
      <c r="AQ551">
        <f t="shared" si="448"/>
        <v>8.8052189589395906E-4</v>
      </c>
      <c r="AR551">
        <f t="shared" si="449"/>
        <v>-2.9673587891626423</v>
      </c>
      <c r="AT551">
        <f t="shared" si="470"/>
        <v>-9902.7335029818678</v>
      </c>
      <c r="AU551">
        <f t="shared" si="471"/>
        <v>-51505.6771718991</v>
      </c>
      <c r="AV551">
        <f t="shared" si="459"/>
        <v>-1.7607433413066207</v>
      </c>
      <c r="AW551">
        <f t="shared" si="460"/>
        <v>40559.65573609843</v>
      </c>
      <c r="AX551">
        <f t="shared" si="461"/>
        <v>-12713.503738866553</v>
      </c>
      <c r="AY551">
        <f t="shared" si="469"/>
        <v>-0.3037519026244232</v>
      </c>
      <c r="BA551">
        <f t="shared" si="450"/>
        <v>1.2339342750608435</v>
      </c>
      <c r="BB551">
        <f t="shared" si="462"/>
        <v>1.8258405563662321</v>
      </c>
      <c r="BC551">
        <f t="shared" si="463"/>
        <v>-1.4569914386821976</v>
      </c>
      <c r="BD551">
        <f t="shared" si="451"/>
        <v>-263.47946031857299</v>
      </c>
      <c r="BF551">
        <f t="shared" si="452"/>
        <v>-49.170975091807861</v>
      </c>
      <c r="BG551">
        <f t="shared" si="453"/>
        <v>-173.99451761558211</v>
      </c>
      <c r="BH551">
        <f t="shared" si="464"/>
        <v>6.0054823844178884</v>
      </c>
      <c r="BI551">
        <f t="shared" si="465"/>
        <v>6.0054823844178884</v>
      </c>
      <c r="BJ551">
        <f t="shared" si="454"/>
        <v>0</v>
      </c>
      <c r="BK551">
        <f t="shared" si="466"/>
        <v>0</v>
      </c>
      <c r="BM551">
        <f t="shared" si="467"/>
        <v>-50.996815648174092</v>
      </c>
      <c r="BN551">
        <f t="shared" si="455"/>
        <v>-90.51505729700915</v>
      </c>
      <c r="BQ551" s="66">
        <f t="shared" si="468"/>
        <v>18.727801356651369</v>
      </c>
    </row>
    <row r="552" spans="1:69" x14ac:dyDescent="0.2">
      <c r="A552">
        <f t="shared" si="472"/>
        <v>1690000</v>
      </c>
      <c r="B552">
        <f t="shared" si="456"/>
        <v>1690</v>
      </c>
      <c r="C552">
        <f t="shared" si="425"/>
        <v>105.12872943572935</v>
      </c>
      <c r="D552">
        <f t="shared" si="426"/>
        <v>1.5612840356624871</v>
      </c>
      <c r="F552">
        <f t="shared" si="427"/>
        <v>1.7826234794799511E-6</v>
      </c>
      <c r="G552">
        <f t="shared" si="428"/>
        <v>5.494379662154404E-4</v>
      </c>
      <c r="H552">
        <f t="shared" si="429"/>
        <v>-3.1410432120337846</v>
      </c>
      <c r="J552">
        <f t="shared" si="430"/>
        <v>15</v>
      </c>
      <c r="M552">
        <f t="shared" si="431"/>
        <v>1.9961533478992989E-3</v>
      </c>
      <c r="N552">
        <f t="shared" si="432"/>
        <v>-1.5707963250000001</v>
      </c>
      <c r="O552">
        <f t="shared" si="433"/>
        <v>500.77338014074388</v>
      </c>
      <c r="P552">
        <f t="shared" si="434"/>
        <v>1.5687994142107469</v>
      </c>
      <c r="Q552">
        <f t="shared" si="435"/>
        <v>693.81894412785766</v>
      </c>
      <c r="R552">
        <f t="shared" si="436"/>
        <v>1.5693550280891071</v>
      </c>
      <c r="S552">
        <f t="shared" si="437"/>
        <v>1.5852304559599295E-2</v>
      </c>
      <c r="T552">
        <f t="shared" si="438"/>
        <v>-1.5549433582245813</v>
      </c>
      <c r="U552">
        <f t="shared" si="439"/>
        <v>0.98223272385876981</v>
      </c>
      <c r="V552">
        <f t="shared" si="440"/>
        <v>-0.18878633177859935</v>
      </c>
      <c r="X552">
        <f t="shared" si="457"/>
        <v>-30.354792128130711</v>
      </c>
      <c r="Y552">
        <f t="shared" si="441"/>
        <v>-100.61888031009759</v>
      </c>
      <c r="Z552">
        <f t="shared" si="458"/>
        <v>79.381119689902405</v>
      </c>
      <c r="AC552">
        <v>1</v>
      </c>
      <c r="AD552">
        <f t="shared" si="442"/>
        <v>500.77238168412003</v>
      </c>
      <c r="AE552">
        <f t="shared" si="443"/>
        <v>-5.3174931776417732E-3</v>
      </c>
      <c r="AF552">
        <f t="shared" si="444"/>
        <v>2.7831306454497003E-2</v>
      </c>
      <c r="AG552">
        <f t="shared" ref="AG552:AG615" si="473">AC552*AE552/(AE552^2+AF552^2)+AD552*AF552/(AE552^2+AF552^2)</f>
        <v>17352.811279975016</v>
      </c>
      <c r="AH552">
        <f t="shared" ref="AH552:AH615" si="474">AD552*AE552/(AE552^2+AF552^2)-AC552*AF552/(AE552^2+AF552^2)</f>
        <v>-3351.3861717799864</v>
      </c>
      <c r="AJ552">
        <f t="shared" si="445"/>
        <v>18000</v>
      </c>
      <c r="AK552">
        <f t="shared" si="446"/>
        <v>1135338.9111464401</v>
      </c>
      <c r="AL552">
        <v>1</v>
      </c>
      <c r="AM552">
        <f t="shared" si="447"/>
        <v>693.81822347837999</v>
      </c>
      <c r="AN552">
        <f t="shared" ref="AN552:AN615" si="475">AJ552*AL552/(AL552^2+AM552^2)+AK552*AM552/(AL552^2+AM552^2)</f>
        <v>1636.3976292085233</v>
      </c>
      <c r="AO552">
        <f t="shared" ref="AO552:AO615" si="476">AK552*AL552/(AL552^2+AM552^2)-AJ552*AM552/(AL552^2+AM552^2)</f>
        <v>-23.584855250348408</v>
      </c>
      <c r="AQ552">
        <f t="shared" si="448"/>
        <v>8.7531941499602469E-4</v>
      </c>
      <c r="AR552">
        <f t="shared" si="449"/>
        <v>-2.9585796226865635</v>
      </c>
      <c r="AT552">
        <f t="shared" si="470"/>
        <v>-9900.1535829636741</v>
      </c>
      <c r="AU552">
        <f t="shared" si="471"/>
        <v>-51342.607382642935</v>
      </c>
      <c r="AV552">
        <f t="shared" si="459"/>
        <v>-1.7612837131781123</v>
      </c>
      <c r="AW552">
        <f t="shared" si="460"/>
        <v>40551.949030564567</v>
      </c>
      <c r="AX552">
        <f t="shared" si="461"/>
        <v>-12718.355963587506</v>
      </c>
      <c r="AY552">
        <f t="shared" si="469"/>
        <v>-0.30391508503233694</v>
      </c>
      <c r="BA552">
        <f t="shared" si="450"/>
        <v>1.2303263923625458</v>
      </c>
      <c r="BB552">
        <f t="shared" si="462"/>
        <v>1.8004068076155582</v>
      </c>
      <c r="BC552">
        <f t="shared" si="463"/>
        <v>-1.4573686281457754</v>
      </c>
      <c r="BD552">
        <f t="shared" si="451"/>
        <v>-263.50107168293749</v>
      </c>
      <c r="BF552">
        <f t="shared" si="452"/>
        <v>-49.222147249229394</v>
      </c>
      <c r="BG552">
        <f t="shared" si="453"/>
        <v>-174.01460523950266</v>
      </c>
      <c r="BH552">
        <f t="shared" si="464"/>
        <v>5.9853947604973428</v>
      </c>
      <c r="BI552">
        <f t="shared" si="465"/>
        <v>5.9853947604973428</v>
      </c>
      <c r="BJ552">
        <f t="shared" si="454"/>
        <v>0</v>
      </c>
      <c r="BK552">
        <f t="shared" si="466"/>
        <v>0</v>
      </c>
      <c r="BM552">
        <f t="shared" si="467"/>
        <v>-51.022554056844953</v>
      </c>
      <c r="BN552">
        <f t="shared" si="455"/>
        <v>-90.513533556565179</v>
      </c>
      <c r="BQ552" s="66">
        <f t="shared" si="468"/>
        <v>18.702367607900694</v>
      </c>
    </row>
    <row r="553" spans="1:69" x14ac:dyDescent="0.2">
      <c r="A553">
        <f t="shared" si="472"/>
        <v>1695000</v>
      </c>
      <c r="B553">
        <f t="shared" si="456"/>
        <v>1695</v>
      </c>
      <c r="C553">
        <f t="shared" si="425"/>
        <v>105.43973307867756</v>
      </c>
      <c r="D553">
        <f t="shared" si="426"/>
        <v>1.5613120938332077</v>
      </c>
      <c r="F553">
        <f t="shared" si="427"/>
        <v>1.7721220213364852E-6</v>
      </c>
      <c r="G553">
        <f t="shared" si="428"/>
        <v>5.4781719977627249E-4</v>
      </c>
      <c r="H553">
        <f t="shared" si="429"/>
        <v>-3.1410448328002238</v>
      </c>
      <c r="J553">
        <f t="shared" si="430"/>
        <v>15</v>
      </c>
      <c r="M553">
        <f t="shared" si="431"/>
        <v>1.9902649899408939E-3</v>
      </c>
      <c r="N553">
        <f t="shared" si="432"/>
        <v>-1.5707963250000001</v>
      </c>
      <c r="O553">
        <f t="shared" si="433"/>
        <v>502.25495228919004</v>
      </c>
      <c r="P553">
        <f t="shared" si="434"/>
        <v>1.5688053047927497</v>
      </c>
      <c r="Q553">
        <f t="shared" si="435"/>
        <v>695.87165863956022</v>
      </c>
      <c r="R553">
        <f t="shared" si="436"/>
        <v>1.5693592797018463</v>
      </c>
      <c r="S553">
        <f t="shared" si="437"/>
        <v>1.5805554298387717E-2</v>
      </c>
      <c r="T553">
        <f t="shared" si="438"/>
        <v>-1.554990114343654</v>
      </c>
      <c r="U553">
        <f t="shared" si="439"/>
        <v>0.98213024195316356</v>
      </c>
      <c r="V553">
        <f t="shared" si="440"/>
        <v>-0.18933163762287364</v>
      </c>
      <c r="X553">
        <f t="shared" si="457"/>
        <v>-30.381354507100369</v>
      </c>
      <c r="Y553">
        <f t="shared" si="441"/>
        <v>-100.65070710520365</v>
      </c>
      <c r="Z553">
        <f t="shared" si="458"/>
        <v>79.349292894796349</v>
      </c>
      <c r="AC553">
        <v>1</v>
      </c>
      <c r="AD553">
        <f t="shared" si="442"/>
        <v>502.25395677786003</v>
      </c>
      <c r="AE553">
        <f t="shared" si="443"/>
        <v>-5.3490041793684594E-3</v>
      </c>
      <c r="AF553">
        <f t="shared" si="444"/>
        <v>2.7913647597853499E-2</v>
      </c>
      <c r="AG553">
        <f t="shared" si="473"/>
        <v>17349.190434625885</v>
      </c>
      <c r="AH553">
        <f t="shared" si="474"/>
        <v>-3360.3953698507776</v>
      </c>
      <c r="AJ553">
        <f t="shared" si="445"/>
        <v>18000</v>
      </c>
      <c r="AK553">
        <f t="shared" si="446"/>
        <v>1138697.9020078199</v>
      </c>
      <c r="AL553">
        <v>1</v>
      </c>
      <c r="AM553">
        <f t="shared" si="447"/>
        <v>695.87094011588999</v>
      </c>
      <c r="AN553">
        <f t="shared" si="475"/>
        <v>1636.3974289569721</v>
      </c>
      <c r="AO553">
        <f t="shared" si="476"/>
        <v>-23.515283693723205</v>
      </c>
      <c r="AQ553">
        <f t="shared" si="448"/>
        <v>8.7016290580808507E-4</v>
      </c>
      <c r="AR553">
        <f t="shared" si="449"/>
        <v>-2.9498522506894083</v>
      </c>
      <c r="AT553">
        <f t="shared" si="470"/>
        <v>-9897.5732229985715</v>
      </c>
      <c r="AU553">
        <f t="shared" si="471"/>
        <v>-51180.472542620009</v>
      </c>
      <c r="AV553">
        <f t="shared" si="459"/>
        <v>-1.761824001177736</v>
      </c>
      <c r="AW553">
        <f t="shared" si="460"/>
        <v>40544.218078108875</v>
      </c>
      <c r="AX553">
        <f t="shared" si="461"/>
        <v>-12723.287328303399</v>
      </c>
      <c r="AY553">
        <f t="shared" si="469"/>
        <v>-0.3040802605635099</v>
      </c>
      <c r="BA553">
        <f t="shared" si="450"/>
        <v>1.2267394199593582</v>
      </c>
      <c r="BB553">
        <f t="shared" si="462"/>
        <v>1.775046421739181</v>
      </c>
      <c r="BC553">
        <f t="shared" si="463"/>
        <v>-1.4577437406142262</v>
      </c>
      <c r="BD553">
        <f t="shared" si="451"/>
        <v>-263.52256404424702</v>
      </c>
      <c r="BF553">
        <f t="shared" si="452"/>
        <v>-49.273169992770967</v>
      </c>
      <c r="BG553">
        <f t="shared" si="453"/>
        <v>-174.03458284912384</v>
      </c>
      <c r="BH553">
        <f t="shared" si="464"/>
        <v>5.9654171508761635</v>
      </c>
      <c r="BI553">
        <f t="shared" si="465"/>
        <v>5.9654171508761635</v>
      </c>
      <c r="BJ553">
        <f t="shared" si="454"/>
        <v>0</v>
      </c>
      <c r="BK553">
        <f t="shared" si="466"/>
        <v>0</v>
      </c>
      <c r="BM553">
        <f t="shared" si="467"/>
        <v>-51.048216414510144</v>
      </c>
      <c r="BN553">
        <f t="shared" si="455"/>
        <v>-90.512018804876845</v>
      </c>
      <c r="BQ553" s="66">
        <f t="shared" si="468"/>
        <v>18.677007222024319</v>
      </c>
    </row>
    <row r="554" spans="1:69" x14ac:dyDescent="0.2">
      <c r="A554">
        <f t="shared" si="472"/>
        <v>1700000</v>
      </c>
      <c r="B554">
        <f t="shared" si="456"/>
        <v>1700</v>
      </c>
      <c r="C554">
        <f t="shared" si="425"/>
        <v>105.75073680414613</v>
      </c>
      <c r="D554">
        <f t="shared" si="426"/>
        <v>1.5613399869706674</v>
      </c>
      <c r="F554">
        <f t="shared" si="427"/>
        <v>1.7617130869871964E-6</v>
      </c>
      <c r="G554">
        <f t="shared" si="428"/>
        <v>5.4620596730544746E-4</v>
      </c>
      <c r="H554">
        <f t="shared" si="429"/>
        <v>-3.1410464440326948</v>
      </c>
      <c r="J554">
        <f t="shared" si="430"/>
        <v>15</v>
      </c>
      <c r="M554">
        <f t="shared" si="431"/>
        <v>1.9844112693822445E-3</v>
      </c>
      <c r="N554">
        <f t="shared" si="432"/>
        <v>-1.5707963250000001</v>
      </c>
      <c r="O554">
        <f t="shared" si="433"/>
        <v>503.73652445496128</v>
      </c>
      <c r="P554">
        <f t="shared" si="434"/>
        <v>1.5688111607244071</v>
      </c>
      <c r="Q554">
        <f t="shared" si="435"/>
        <v>697.92437316376743</v>
      </c>
      <c r="R554">
        <f t="shared" si="436"/>
        <v>1.5693635063051501</v>
      </c>
      <c r="S554">
        <f t="shared" si="437"/>
        <v>1.5759078935965572E-2</v>
      </c>
      <c r="T554">
        <f t="shared" si="438"/>
        <v>-1.5550365954952388</v>
      </c>
      <c r="U554">
        <f t="shared" si="439"/>
        <v>0.98202748950761387</v>
      </c>
      <c r="V554">
        <f t="shared" si="440"/>
        <v>-0.18987682952724397</v>
      </c>
      <c r="X554">
        <f t="shared" si="457"/>
        <v>-30.407843825936425</v>
      </c>
      <c r="Y554">
        <f t="shared" si="441"/>
        <v>-100.68252394526435</v>
      </c>
      <c r="Z554">
        <f t="shared" si="458"/>
        <v>79.31747605473565</v>
      </c>
      <c r="AC554">
        <v>1</v>
      </c>
      <c r="AD554">
        <f t="shared" si="442"/>
        <v>503.73553187160013</v>
      </c>
      <c r="AE554">
        <f t="shared" si="443"/>
        <v>-5.3806082712036431E-3</v>
      </c>
      <c r="AF554">
        <f t="shared" si="444"/>
        <v>2.7995988741210003E-2</v>
      </c>
      <c r="AG554">
        <f t="shared" si="473"/>
        <v>17345.560409979531</v>
      </c>
      <c r="AH554">
        <f t="shared" si="474"/>
        <v>-3369.3993336890212</v>
      </c>
      <c r="AJ554">
        <f t="shared" si="445"/>
        <v>18000</v>
      </c>
      <c r="AK554">
        <f t="shared" si="446"/>
        <v>1142056.8928691999</v>
      </c>
      <c r="AL554">
        <v>1</v>
      </c>
      <c r="AM554">
        <f t="shared" si="447"/>
        <v>697.9236567534</v>
      </c>
      <c r="AN554">
        <f t="shared" si="475"/>
        <v>1636.3972304697427</v>
      </c>
      <c r="AO554">
        <f t="shared" si="476"/>
        <v>-23.446121379020788</v>
      </c>
      <c r="AQ554">
        <f t="shared" si="448"/>
        <v>8.6505182828271383E-4</v>
      </c>
      <c r="AR554">
        <f t="shared" si="449"/>
        <v>-2.9411762161612272</v>
      </c>
      <c r="AT554">
        <f t="shared" si="470"/>
        <v>-9894.9923742503943</v>
      </c>
      <c r="AU554">
        <f t="shared" si="471"/>
        <v>-51019.264438873404</v>
      </c>
      <c r="AV554">
        <f t="shared" si="459"/>
        <v>-1.7623642047540522</v>
      </c>
      <c r="AW554">
        <f t="shared" si="460"/>
        <v>40536.46294895163</v>
      </c>
      <c r="AX554">
        <f t="shared" si="461"/>
        <v>-12728.296989148965</v>
      </c>
      <c r="AY554">
        <f t="shared" si="469"/>
        <v>-0.30424741058853927</v>
      </c>
      <c r="BA554">
        <f t="shared" si="450"/>
        <v>1.2231731776740487</v>
      </c>
      <c r="BB554">
        <f t="shared" si="462"/>
        <v>1.7497589818349202</v>
      </c>
      <c r="BC554">
        <f t="shared" si="463"/>
        <v>-1.4581167941655129</v>
      </c>
      <c r="BD554">
        <f t="shared" si="451"/>
        <v>-263.54393843829251</v>
      </c>
      <c r="BF554">
        <f t="shared" si="452"/>
        <v>-49.324044187478655</v>
      </c>
      <c r="BG554">
        <f t="shared" si="453"/>
        <v>-174.05445140093425</v>
      </c>
      <c r="BH554">
        <f t="shared" si="464"/>
        <v>5.9455485990657451</v>
      </c>
      <c r="BI554">
        <f t="shared" si="465"/>
        <v>5.9455485990657451</v>
      </c>
      <c r="BJ554">
        <f t="shared" si="454"/>
        <v>0</v>
      </c>
      <c r="BK554">
        <f t="shared" si="466"/>
        <v>0</v>
      </c>
      <c r="BM554">
        <f t="shared" si="467"/>
        <v>-51.073803169313585</v>
      </c>
      <c r="BN554">
        <f t="shared" si="455"/>
        <v>-90.510512962641698</v>
      </c>
      <c r="BQ554" s="66">
        <f t="shared" si="468"/>
        <v>18.651719782120058</v>
      </c>
    </row>
    <row r="555" spans="1:69" x14ac:dyDescent="0.2">
      <c r="A555">
        <f t="shared" si="472"/>
        <v>1705000</v>
      </c>
      <c r="B555">
        <f t="shared" si="456"/>
        <v>1705</v>
      </c>
      <c r="C555">
        <f t="shared" si="425"/>
        <v>106.06174061140912</v>
      </c>
      <c r="D555">
        <f t="shared" si="426"/>
        <v>1.5613677165265989</v>
      </c>
      <c r="F555">
        <f t="shared" si="427"/>
        <v>1.7513955926990018E-6</v>
      </c>
      <c r="G555">
        <f t="shared" si="428"/>
        <v>5.4460418492584923E-4</v>
      </c>
      <c r="H555">
        <f t="shared" si="429"/>
        <v>-3.1410480458150745</v>
      </c>
      <c r="J555">
        <f t="shared" si="430"/>
        <v>15</v>
      </c>
      <c r="M555">
        <f t="shared" si="431"/>
        <v>1.9785918814954929E-3</v>
      </c>
      <c r="N555">
        <f t="shared" si="432"/>
        <v>-1.5707963250000001</v>
      </c>
      <c r="O555">
        <f t="shared" si="433"/>
        <v>505.21809663790532</v>
      </c>
      <c r="P555">
        <f t="shared" si="434"/>
        <v>1.5688169823105591</v>
      </c>
      <c r="Q555">
        <f t="shared" si="435"/>
        <v>699.97708770036945</v>
      </c>
      <c r="R555">
        <f t="shared" si="436"/>
        <v>1.5693677081190427</v>
      </c>
      <c r="S555">
        <f t="shared" si="437"/>
        <v>1.5712876055067999E-2</v>
      </c>
      <c r="T555">
        <f t="shared" si="438"/>
        <v>-1.5550828040976046</v>
      </c>
      <c r="U555">
        <f t="shared" si="439"/>
        <v>0.98192446679024514</v>
      </c>
      <c r="V555">
        <f t="shared" si="440"/>
        <v>-0.19042190720342003</v>
      </c>
      <c r="X555">
        <f t="shared" si="457"/>
        <v>-30.434260526584886</v>
      </c>
      <c r="Y555">
        <f t="shared" si="441"/>
        <v>-100.71433084387364</v>
      </c>
      <c r="Z555">
        <f t="shared" si="458"/>
        <v>79.28566915612636</v>
      </c>
      <c r="AC555">
        <v>1</v>
      </c>
      <c r="AD555">
        <f t="shared" si="442"/>
        <v>505.21710696534007</v>
      </c>
      <c r="AE555">
        <f t="shared" si="443"/>
        <v>-5.4123054531473236E-3</v>
      </c>
      <c r="AF555">
        <f t="shared" si="444"/>
        <v>2.8078329884566502E-2</v>
      </c>
      <c r="AG555">
        <f t="shared" si="473"/>
        <v>17341.921218506694</v>
      </c>
      <c r="AH555">
        <f t="shared" si="474"/>
        <v>-3378.3980446470769</v>
      </c>
      <c r="AJ555">
        <f t="shared" si="445"/>
        <v>18000</v>
      </c>
      <c r="AK555">
        <f t="shared" si="446"/>
        <v>1145415.8837305799</v>
      </c>
      <c r="AL555">
        <v>1</v>
      </c>
      <c r="AM555">
        <f t="shared" si="447"/>
        <v>699.97637339091</v>
      </c>
      <c r="AN555">
        <f t="shared" si="475"/>
        <v>1636.3970337261683</v>
      </c>
      <c r="AO555">
        <f t="shared" si="476"/>
        <v>-23.377364705901851</v>
      </c>
      <c r="AQ555">
        <f t="shared" si="448"/>
        <v>8.5998565027943941E-4</v>
      </c>
      <c r="AR555">
        <f t="shared" si="449"/>
        <v>-2.9325510674528883</v>
      </c>
      <c r="AT555">
        <f t="shared" si="470"/>
        <v>-9892.4109887143441</v>
      </c>
      <c r="AU555">
        <f t="shared" si="471"/>
        <v>-50858.974954855024</v>
      </c>
      <c r="AV555">
        <f t="shared" si="459"/>
        <v>-1.7629043233590957</v>
      </c>
      <c r="AW555">
        <f t="shared" si="460"/>
        <v>40528.683712747224</v>
      </c>
      <c r="AX555">
        <f t="shared" si="461"/>
        <v>-12733.384111884423</v>
      </c>
      <c r="AY555">
        <f t="shared" si="469"/>
        <v>-0.3044165166899776</v>
      </c>
      <c r="BA555">
        <f t="shared" si="450"/>
        <v>1.2196274873808244</v>
      </c>
      <c r="BB555">
        <f t="shared" si="462"/>
        <v>1.7245440744980658</v>
      </c>
      <c r="BC555">
        <f t="shared" si="463"/>
        <v>-1.458487806669118</v>
      </c>
      <c r="BD555">
        <f t="shared" si="451"/>
        <v>-263.56519588892002</v>
      </c>
      <c r="BF555">
        <f t="shared" si="452"/>
        <v>-49.374770690951237</v>
      </c>
      <c r="BG555">
        <f t="shared" si="453"/>
        <v>-174.07421184040737</v>
      </c>
      <c r="BH555">
        <f t="shared" si="464"/>
        <v>5.9257881595926278</v>
      </c>
      <c r="BI555">
        <f t="shared" si="465"/>
        <v>5.9257881595926278</v>
      </c>
      <c r="BJ555">
        <f t="shared" si="454"/>
        <v>0</v>
      </c>
      <c r="BK555">
        <f t="shared" si="466"/>
        <v>0</v>
      </c>
      <c r="BM555">
        <f t="shared" si="467"/>
        <v>-51.0993147654493</v>
      </c>
      <c r="BN555">
        <f t="shared" si="455"/>
        <v>-90.509015951487399</v>
      </c>
      <c r="BQ555" s="66">
        <f t="shared" si="468"/>
        <v>18.626504874783201</v>
      </c>
    </row>
    <row r="556" spans="1:69" x14ac:dyDescent="0.2">
      <c r="A556">
        <f t="shared" si="472"/>
        <v>1710000</v>
      </c>
      <c r="B556">
        <f t="shared" si="456"/>
        <v>1710</v>
      </c>
      <c r="C556">
        <f t="shared" si="425"/>
        <v>106.37274449974907</v>
      </c>
      <c r="D556">
        <f t="shared" si="426"/>
        <v>1.5613952839357579</v>
      </c>
      <c r="F556">
        <f t="shared" si="427"/>
        <v>1.7411684705597252E-6</v>
      </c>
      <c r="G556">
        <f t="shared" si="428"/>
        <v>5.430117697413884E-4</v>
      </c>
      <c r="H556">
        <f t="shared" si="429"/>
        <v>-3.1410496382302586</v>
      </c>
      <c r="J556">
        <f t="shared" si="430"/>
        <v>15</v>
      </c>
      <c r="M556">
        <f t="shared" si="431"/>
        <v>1.9728065251168507E-3</v>
      </c>
      <c r="N556">
        <f t="shared" si="432"/>
        <v>-1.5707963250000001</v>
      </c>
      <c r="O556">
        <f t="shared" si="433"/>
        <v>506.69966883787157</v>
      </c>
      <c r="P556">
        <f t="shared" si="434"/>
        <v>1.5688227698524808</v>
      </c>
      <c r="Q556">
        <f t="shared" si="435"/>
        <v>702.02980224925739</v>
      </c>
      <c r="R556">
        <f t="shared" si="436"/>
        <v>1.5693718853609739</v>
      </c>
      <c r="S556">
        <f t="shared" si="437"/>
        <v>1.5666943266684812E-2</v>
      </c>
      <c r="T556">
        <f t="shared" si="438"/>
        <v>-1.5551287425407481</v>
      </c>
      <c r="U556">
        <f t="shared" si="439"/>
        <v>0.98182117406973501</v>
      </c>
      <c r="V556">
        <f t="shared" si="440"/>
        <v>-0.19096687036350388</v>
      </c>
      <c r="X556">
        <f t="shared" si="457"/>
        <v>-30.460605047093978</v>
      </c>
      <c r="Y556">
        <f t="shared" si="441"/>
        <v>-100.74612781429623</v>
      </c>
      <c r="Z556">
        <f t="shared" si="458"/>
        <v>79.25387218570377</v>
      </c>
      <c r="AC556">
        <v>1</v>
      </c>
      <c r="AD556">
        <f t="shared" si="442"/>
        <v>506.69868205908006</v>
      </c>
      <c r="AE556">
        <f t="shared" si="443"/>
        <v>-5.444095725199505E-3</v>
      </c>
      <c r="AF556">
        <f t="shared" si="444"/>
        <v>2.8160671027922999E-2</v>
      </c>
      <c r="AG556">
        <f t="shared" si="473"/>
        <v>17338.272872701564</v>
      </c>
      <c r="AH556">
        <f t="shared" si="474"/>
        <v>-3387.3914841741866</v>
      </c>
      <c r="AJ556">
        <f t="shared" si="445"/>
        <v>18000</v>
      </c>
      <c r="AK556">
        <f t="shared" si="446"/>
        <v>1148774.8745919599</v>
      </c>
      <c r="AL556">
        <v>1</v>
      </c>
      <c r="AM556">
        <f t="shared" si="447"/>
        <v>702.02909002842</v>
      </c>
      <c r="AN556">
        <f t="shared" si="475"/>
        <v>1636.3968387058856</v>
      </c>
      <c r="AO556">
        <f t="shared" si="476"/>
        <v>-23.309010116135891</v>
      </c>
      <c r="AQ556">
        <f t="shared" si="448"/>
        <v>8.549638474262297E-4</v>
      </c>
      <c r="AR556">
        <f t="shared" si="449"/>
        <v>-2.9239763581977054</v>
      </c>
      <c r="AT556">
        <f t="shared" si="470"/>
        <v>-9889.829019202587</v>
      </c>
      <c r="AU556">
        <f t="shared" si="471"/>
        <v>-50699.596069016028</v>
      </c>
      <c r="AV556">
        <f t="shared" si="459"/>
        <v>-1.7634443564483304</v>
      </c>
      <c r="AW556">
        <f t="shared" si="460"/>
        <v>40520.880438594933</v>
      </c>
      <c r="AX556">
        <f t="shared" si="461"/>
        <v>-12738.547871755931</v>
      </c>
      <c r="AY556">
        <f t="shared" si="469"/>
        <v>-0.30458756065930215</v>
      </c>
      <c r="BA556">
        <f t="shared" si="450"/>
        <v>1.2161021729764039</v>
      </c>
      <c r="BB556">
        <f t="shared" si="462"/>
        <v>1.6994012897829223</v>
      </c>
      <c r="BC556">
        <f t="shared" si="463"/>
        <v>-1.4588567957890284</v>
      </c>
      <c r="BD556">
        <f t="shared" si="451"/>
        <v>-263.58633740820125</v>
      </c>
      <c r="BF556">
        <f t="shared" si="452"/>
        <v>-49.425350353424818</v>
      </c>
      <c r="BG556">
        <f t="shared" si="453"/>
        <v>-174.09386510215933</v>
      </c>
      <c r="BH556">
        <f t="shared" si="464"/>
        <v>5.9061348978406727</v>
      </c>
      <c r="BI556">
        <f t="shared" si="465"/>
        <v>5.9061348978406727</v>
      </c>
      <c r="BJ556">
        <f t="shared" si="454"/>
        <v>0</v>
      </c>
      <c r="BK556">
        <f t="shared" si="466"/>
        <v>0</v>
      </c>
      <c r="BM556">
        <f t="shared" si="467"/>
        <v>-51.124751643207745</v>
      </c>
      <c r="BN556">
        <f t="shared" si="455"/>
        <v>-90.507527693958068</v>
      </c>
      <c r="BQ556" s="66">
        <f t="shared" si="468"/>
        <v>18.601362090068058</v>
      </c>
    </row>
    <row r="557" spans="1:69" x14ac:dyDescent="0.2">
      <c r="A557">
        <f t="shared" si="472"/>
        <v>1715000</v>
      </c>
      <c r="B557">
        <f t="shared" si="456"/>
        <v>1715</v>
      </c>
      <c r="C557">
        <f t="shared" si="425"/>
        <v>106.68374846845698</v>
      </c>
      <c r="D557">
        <f t="shared" si="426"/>
        <v>1.561422690616171</v>
      </c>
      <c r="F557">
        <f t="shared" si="427"/>
        <v>1.7310306682017434E-6</v>
      </c>
      <c r="G557">
        <f t="shared" si="428"/>
        <v>5.4142863982270225E-4</v>
      </c>
      <c r="H557">
        <f t="shared" si="429"/>
        <v>-3.1410512213601773</v>
      </c>
      <c r="J557">
        <f t="shared" si="430"/>
        <v>15</v>
      </c>
      <c r="M557">
        <f t="shared" si="431"/>
        <v>1.9670549025946446E-3</v>
      </c>
      <c r="N557">
        <f t="shared" si="432"/>
        <v>-1.5707963250000001</v>
      </c>
      <c r="O557">
        <f t="shared" si="433"/>
        <v>508.18124105471105</v>
      </c>
      <c r="P557">
        <f t="shared" si="434"/>
        <v>1.5688285236479333</v>
      </c>
      <c r="Q557">
        <f t="shared" si="435"/>
        <v>704.08251681032391</v>
      </c>
      <c r="R557">
        <f t="shared" si="436"/>
        <v>1.569376038245859</v>
      </c>
      <c r="S557">
        <f t="shared" si="437"/>
        <v>1.5621278209648882E-2</v>
      </c>
      <c r="T557">
        <f t="shared" si="438"/>
        <v>-1.5551744131868059</v>
      </c>
      <c r="U557">
        <f t="shared" si="439"/>
        <v>0.9817176116153119</v>
      </c>
      <c r="V557">
        <f t="shared" si="440"/>
        <v>-0.19151171871999051</v>
      </c>
      <c r="X557">
        <f t="shared" si="457"/>
        <v>-30.486877821659672</v>
      </c>
      <c r="Y557">
        <f t="shared" si="441"/>
        <v>-100.77791486947294</v>
      </c>
      <c r="Z557">
        <f t="shared" si="458"/>
        <v>79.222085130527063</v>
      </c>
      <c r="AC557">
        <v>1</v>
      </c>
      <c r="AD557">
        <f t="shared" si="442"/>
        <v>508.18025715282005</v>
      </c>
      <c r="AE557">
        <f t="shared" si="443"/>
        <v>-5.4759790873601839E-3</v>
      </c>
      <c r="AF557">
        <f t="shared" si="444"/>
        <v>2.8243012171279499E-2</v>
      </c>
      <c r="AG557">
        <f t="shared" si="473"/>
        <v>17334.615385081652</v>
      </c>
      <c r="AH557">
        <f t="shared" si="474"/>
        <v>-3396.3796338155794</v>
      </c>
      <c r="AJ557">
        <f t="shared" si="445"/>
        <v>18000</v>
      </c>
      <c r="AK557">
        <f t="shared" si="446"/>
        <v>1152133.8654533401</v>
      </c>
      <c r="AL557">
        <v>1</v>
      </c>
      <c r="AM557">
        <f t="shared" si="447"/>
        <v>704.08180666593</v>
      </c>
      <c r="AN557">
        <f t="shared" si="475"/>
        <v>1636.3966453888279</v>
      </c>
      <c r="AO557">
        <f t="shared" si="476"/>
        <v>-23.241054092987394</v>
      </c>
      <c r="AQ557">
        <f t="shared" si="448"/>
        <v>8.49985902983799E-4</v>
      </c>
      <c r="AR557">
        <f t="shared" si="449"/>
        <v>-2.9154516472344305</v>
      </c>
      <c r="AT557">
        <f t="shared" si="470"/>
        <v>-9887.2464193301366</v>
      </c>
      <c r="AU557">
        <f t="shared" si="471"/>
        <v>-50541.119853421529</v>
      </c>
      <c r="AV557">
        <f t="shared" si="459"/>
        <v>-1.7639843034806062</v>
      </c>
      <c r="AW557">
        <f t="shared" si="460"/>
        <v>40513.053195049171</v>
      </c>
      <c r="AX557">
        <f t="shared" si="461"/>
        <v>-12743.787453358435</v>
      </c>
      <c r="AY557">
        <f t="shared" si="469"/>
        <v>-0.30476052449393543</v>
      </c>
      <c r="BA557">
        <f t="shared" si="450"/>
        <v>1.2125970603515719</v>
      </c>
      <c r="BB557">
        <f t="shared" si="462"/>
        <v>1.6743302211648579</v>
      </c>
      <c r="BC557">
        <f t="shared" si="463"/>
        <v>-1.4592237789866709</v>
      </c>
      <c r="BD557">
        <f t="shared" si="451"/>
        <v>-263.60736399660243</v>
      </c>
      <c r="BF557">
        <f t="shared" si="452"/>
        <v>-49.475784017856519</v>
      </c>
      <c r="BG557">
        <f t="shared" si="453"/>
        <v>-174.11341211010338</v>
      </c>
      <c r="BH557">
        <f t="shared" si="464"/>
        <v>5.8865878898966173</v>
      </c>
      <c r="BI557">
        <f t="shared" si="465"/>
        <v>5.8865878898966173</v>
      </c>
      <c r="BJ557">
        <f t="shared" si="454"/>
        <v>0</v>
      </c>
      <c r="BK557">
        <f t="shared" si="466"/>
        <v>0</v>
      </c>
      <c r="BM557">
        <f t="shared" si="467"/>
        <v>-51.150114239021377</v>
      </c>
      <c r="BN557">
        <f t="shared" si="455"/>
        <v>-90.506048113501009</v>
      </c>
      <c r="BQ557" s="66">
        <f t="shared" si="468"/>
        <v>18.576291021449997</v>
      </c>
    </row>
    <row r="558" spans="1:69" x14ac:dyDescent="0.2">
      <c r="A558">
        <f t="shared" si="472"/>
        <v>1720000</v>
      </c>
      <c r="B558">
        <f t="shared" si="456"/>
        <v>1720</v>
      </c>
      <c r="C558">
        <f t="shared" si="425"/>
        <v>106.99475251683198</v>
      </c>
      <c r="D558">
        <f t="shared" si="426"/>
        <v>1.5614499379693785</v>
      </c>
      <c r="F558">
        <f t="shared" si="427"/>
        <v>1.7209811485312605E-6</v>
      </c>
      <c r="G558">
        <f t="shared" si="428"/>
        <v>5.3985471419310265E-4</v>
      </c>
      <c r="H558">
        <f t="shared" si="429"/>
        <v>-3.1410527952858072</v>
      </c>
      <c r="J558">
        <f t="shared" si="430"/>
        <v>15</v>
      </c>
      <c r="M558">
        <f t="shared" si="431"/>
        <v>1.9613367197382648E-3</v>
      </c>
      <c r="N558">
        <f t="shared" si="432"/>
        <v>-1.5707963250000001</v>
      </c>
      <c r="O558">
        <f t="shared" si="433"/>
        <v>509.6628132882766</v>
      </c>
      <c r="P558">
        <f t="shared" si="434"/>
        <v>1.568834243991216</v>
      </c>
      <c r="Q558">
        <f t="shared" si="435"/>
        <v>706.13523138346272</v>
      </c>
      <c r="R558">
        <f t="shared" si="436"/>
        <v>1.5693801669861127</v>
      </c>
      <c r="S558">
        <f t="shared" si="437"/>
        <v>1.5575878550231771E-2</v>
      </c>
      <c r="T558">
        <f t="shared" si="438"/>
        <v>-1.5552198183704589</v>
      </c>
      <c r="U558">
        <f t="shared" si="439"/>
        <v>0.98161377969675279</v>
      </c>
      <c r="V558">
        <f t="shared" si="440"/>
        <v>-0.19205645198576873</v>
      </c>
      <c r="X558">
        <f t="shared" si="457"/>
        <v>-30.51307928067046</v>
      </c>
      <c r="Y558">
        <f t="shared" si="441"/>
        <v>-100.8096920220255</v>
      </c>
      <c r="Z558">
        <f t="shared" si="458"/>
        <v>79.190307977974498</v>
      </c>
      <c r="AC558">
        <v>1</v>
      </c>
      <c r="AD558">
        <f t="shared" si="442"/>
        <v>509.66183224656004</v>
      </c>
      <c r="AE558">
        <f t="shared" si="443"/>
        <v>-5.5079555396293604E-3</v>
      </c>
      <c r="AF558">
        <f t="shared" si="444"/>
        <v>2.8325353314636002E-2</v>
      </c>
      <c r="AG558">
        <f t="shared" si="473"/>
        <v>17330.948768187704</v>
      </c>
      <c r="AH558">
        <f t="shared" si="474"/>
        <v>-3405.3624752116048</v>
      </c>
      <c r="AJ558">
        <f t="shared" si="445"/>
        <v>18000</v>
      </c>
      <c r="AK558">
        <f t="shared" si="446"/>
        <v>1155492.8563147199</v>
      </c>
      <c r="AL558">
        <v>1</v>
      </c>
      <c r="AM558">
        <f t="shared" si="447"/>
        <v>706.13452330343989</v>
      </c>
      <c r="AN558">
        <f t="shared" si="475"/>
        <v>1636.3964537552181</v>
      </c>
      <c r="AO558">
        <f t="shared" si="476"/>
        <v>-23.173493160612711</v>
      </c>
      <c r="AQ558">
        <f t="shared" si="448"/>
        <v>8.4505130771267347E-4</v>
      </c>
      <c r="AR558">
        <f t="shared" si="449"/>
        <v>-2.9069764985315967</v>
      </c>
      <c r="AT558">
        <f t="shared" si="470"/>
        <v>-9884.6631435010622</v>
      </c>
      <c r="AU558">
        <f t="shared" si="471"/>
        <v>-50383.538472389693</v>
      </c>
      <c r="AV558">
        <f t="shared" si="459"/>
        <v>-1.7645241639181157</v>
      </c>
      <c r="AW558">
        <f t="shared" si="460"/>
        <v>40505.202050129665</v>
      </c>
      <c r="AX558">
        <f t="shared" si="461"/>
        <v>-12749.102050500947</v>
      </c>
      <c r="AY558">
        <f t="shared" si="469"/>
        <v>-0.3049353903943175</v>
      </c>
      <c r="BA558">
        <f t="shared" si="450"/>
        <v>1.2091119773632142</v>
      </c>
      <c r="BB558">
        <f t="shared" si="462"/>
        <v>1.6493304655028953</v>
      </c>
      <c r="BC558">
        <f t="shared" si="463"/>
        <v>-1.4595887735237982</v>
      </c>
      <c r="BD558">
        <f t="shared" si="451"/>
        <v>-263.62827664314904</v>
      </c>
      <c r="BF558">
        <f t="shared" si="452"/>
        <v>-49.526072520006721</v>
      </c>
      <c r="BG558">
        <f t="shared" si="453"/>
        <v>-174.13285377760252</v>
      </c>
      <c r="BH558">
        <f t="shared" si="464"/>
        <v>5.86714622239748</v>
      </c>
      <c r="BI558">
        <f t="shared" si="465"/>
        <v>5.86714622239748</v>
      </c>
      <c r="BJ558">
        <f t="shared" si="454"/>
        <v>0</v>
      </c>
      <c r="BK558">
        <f t="shared" si="466"/>
        <v>0</v>
      </c>
      <c r="BM558">
        <f t="shared" si="467"/>
        <v>-51.175402985509621</v>
      </c>
      <c r="BN558">
        <f t="shared" si="455"/>
        <v>-90.504577134453498</v>
      </c>
      <c r="BQ558" s="66">
        <f t="shared" si="468"/>
        <v>18.551291265788031</v>
      </c>
    </row>
    <row r="559" spans="1:69" x14ac:dyDescent="0.2">
      <c r="A559">
        <f t="shared" si="472"/>
        <v>1725000</v>
      </c>
      <c r="B559">
        <f t="shared" si="456"/>
        <v>1725</v>
      </c>
      <c r="C559">
        <f t="shared" si="425"/>
        <v>107.30575664418139</v>
      </c>
      <c r="D559">
        <f t="shared" si="426"/>
        <v>1.5614770273806731</v>
      </c>
      <c r="F559">
        <f t="shared" si="427"/>
        <v>1.7110188894630568E-6</v>
      </c>
      <c r="G559">
        <f t="shared" si="428"/>
        <v>5.3828991281476958E-4</v>
      </c>
      <c r="H559">
        <f t="shared" si="429"/>
        <v>-3.1410543600871854</v>
      </c>
      <c r="J559">
        <f t="shared" si="430"/>
        <v>15</v>
      </c>
      <c r="M559">
        <f t="shared" si="431"/>
        <v>1.9556516857680089E-3</v>
      </c>
      <c r="N559">
        <f t="shared" si="432"/>
        <v>-1.5707963250000001</v>
      </c>
      <c r="O559">
        <f t="shared" si="433"/>
        <v>511.14438553842291</v>
      </c>
      <c r="P559">
        <f t="shared" si="434"/>
        <v>1.5688399311732155</v>
      </c>
      <c r="Q559">
        <f t="shared" si="435"/>
        <v>708.1879459685689</v>
      </c>
      <c r="R559">
        <f t="shared" si="436"/>
        <v>1.5693842717916884</v>
      </c>
      <c r="S559">
        <f t="shared" si="437"/>
        <v>1.5530741981746341E-2</v>
      </c>
      <c r="T559">
        <f t="shared" si="438"/>
        <v>-1.5552649603993298</v>
      </c>
      <c r="U559">
        <f t="shared" si="439"/>
        <v>0.98150967858438243</v>
      </c>
      <c r="V559">
        <f t="shared" si="440"/>
        <v>-0.19260106987412187</v>
      </c>
      <c r="X559">
        <f t="shared" si="457"/>
        <v>-30.539209850751465</v>
      </c>
      <c r="Y559">
        <f t="shared" si="441"/>
        <v>-100.84145928426169</v>
      </c>
      <c r="Z559">
        <f t="shared" si="458"/>
        <v>79.158540715738312</v>
      </c>
      <c r="AC559">
        <v>1</v>
      </c>
      <c r="AD559">
        <f t="shared" si="442"/>
        <v>511.14340734030003</v>
      </c>
      <c r="AE559">
        <f t="shared" si="443"/>
        <v>-5.5400250820070362E-3</v>
      </c>
      <c r="AF559">
        <f t="shared" si="444"/>
        <v>2.8407694457992502E-2</v>
      </c>
      <c r="AG559">
        <f t="shared" si="473"/>
        <v>17327.273034583606</v>
      </c>
      <c r="AH559">
        <f t="shared" si="474"/>
        <v>-3414.3399900968811</v>
      </c>
      <c r="AJ559">
        <f t="shared" si="445"/>
        <v>18000</v>
      </c>
      <c r="AK559">
        <f t="shared" si="446"/>
        <v>1158851.8471760999</v>
      </c>
      <c r="AL559">
        <v>1</v>
      </c>
      <c r="AM559">
        <f t="shared" si="447"/>
        <v>708.18723994095001</v>
      </c>
      <c r="AN559">
        <f t="shared" si="475"/>
        <v>1636.3962637855668</v>
      </c>
      <c r="AO559">
        <f t="shared" si="476"/>
        <v>-23.106323883467404</v>
      </c>
      <c r="AQ559">
        <f t="shared" si="448"/>
        <v>8.4015955974294811E-4</v>
      </c>
      <c r="AR559">
        <f t="shared" si="449"/>
        <v>-2.8985504811131713</v>
      </c>
      <c r="AT559">
        <f t="shared" si="470"/>
        <v>-9882.0791468949737</v>
      </c>
      <c r="AU559">
        <f t="shared" si="471"/>
        <v>-50226.844181154484</v>
      </c>
      <c r="AV559">
        <f t="shared" si="459"/>
        <v>-1.765063937226353</v>
      </c>
      <c r="AW559">
        <f t="shared" si="460"/>
        <v>40497.327071331558</v>
      </c>
      <c r="AX559">
        <f t="shared" si="461"/>
        <v>-12754.4908660742</v>
      </c>
      <c r="AY559">
        <f t="shared" si="469"/>
        <v>-0.30511214076102711</v>
      </c>
      <c r="BA559">
        <f t="shared" si="450"/>
        <v>1.2056467538068114</v>
      </c>
      <c r="BB559">
        <f t="shared" si="462"/>
        <v>1.6244016230027514</v>
      </c>
      <c r="BC559">
        <f t="shared" si="463"/>
        <v>-1.4599517964653259</v>
      </c>
      <c r="BD559">
        <f t="shared" si="451"/>
        <v>-263.64907632558879</v>
      </c>
      <c r="BF559">
        <f t="shared" si="452"/>
        <v>-49.57621668852039</v>
      </c>
      <c r="BG559">
        <f t="shared" si="453"/>
        <v>-174.15219100761865</v>
      </c>
      <c r="BH559">
        <f t="shared" si="464"/>
        <v>5.8478089923813457</v>
      </c>
      <c r="BI559">
        <f t="shared" si="465"/>
        <v>5.8478089923813457</v>
      </c>
      <c r="BJ559">
        <f t="shared" si="454"/>
        <v>0</v>
      </c>
      <c r="BK559">
        <f t="shared" si="466"/>
        <v>0</v>
      </c>
      <c r="BM559">
        <f t="shared" si="467"/>
        <v>-51.200618311523144</v>
      </c>
      <c r="BN559">
        <f t="shared" si="455"/>
        <v>-90.503114682029889</v>
      </c>
      <c r="BQ559" s="66">
        <f t="shared" si="468"/>
        <v>18.526362423287889</v>
      </c>
    </row>
    <row r="560" spans="1:69" x14ac:dyDescent="0.2">
      <c r="A560">
        <f t="shared" si="472"/>
        <v>1730000</v>
      </c>
      <c r="B560">
        <f t="shared" si="456"/>
        <v>1730</v>
      </c>
      <c r="C560">
        <f t="shared" si="425"/>
        <v>107.61676084982051</v>
      </c>
      <c r="D560">
        <f t="shared" si="426"/>
        <v>1.561503960219335</v>
      </c>
      <c r="F560">
        <f t="shared" si="427"/>
        <v>1.7011428836606037E-6</v>
      </c>
      <c r="G560">
        <f t="shared" si="428"/>
        <v>5.3673415657518291E-4</v>
      </c>
      <c r="H560">
        <f t="shared" si="429"/>
        <v>-3.1410559158434248</v>
      </c>
      <c r="J560">
        <f t="shared" si="430"/>
        <v>15</v>
      </c>
      <c r="M560">
        <f t="shared" si="431"/>
        <v>1.9499995132657892E-3</v>
      </c>
      <c r="N560">
        <f t="shared" si="432"/>
        <v>-1.5707963250000001</v>
      </c>
      <c r="O560">
        <f t="shared" si="433"/>
        <v>512.62595780500601</v>
      </c>
      <c r="P560">
        <f t="shared" si="434"/>
        <v>1.568845585481456</v>
      </c>
      <c r="Q560">
        <f t="shared" si="435"/>
        <v>710.24066056553875</v>
      </c>
      <c r="R560">
        <f t="shared" si="436"/>
        <v>1.5693883528701114</v>
      </c>
      <c r="S560">
        <f t="shared" si="437"/>
        <v>1.5485866224156276E-2</v>
      </c>
      <c r="T560">
        <f t="shared" si="438"/>
        <v>-1.5553098415543753</v>
      </c>
      <c r="U560">
        <f t="shared" si="439"/>
        <v>0.98140530854907082</v>
      </c>
      <c r="V560">
        <f t="shared" si="440"/>
        <v>-0.19314557209872843</v>
      </c>
      <c r="X560">
        <f t="shared" si="457"/>
        <v>-30.565269954807977</v>
      </c>
      <c r="Y560">
        <f t="shared" si="441"/>
        <v>-100.87321666818029</v>
      </c>
      <c r="Z560">
        <f t="shared" si="458"/>
        <v>79.126783331819709</v>
      </c>
      <c r="AC560">
        <v>1</v>
      </c>
      <c r="AD560">
        <f t="shared" si="442"/>
        <v>512.62498243404013</v>
      </c>
      <c r="AE560">
        <f t="shared" si="443"/>
        <v>-5.5721877144932104E-3</v>
      </c>
      <c r="AF560">
        <f t="shared" si="444"/>
        <v>2.8490035601348999E-2</v>
      </c>
      <c r="AG560">
        <f t="shared" si="473"/>
        <v>17323.588196856268</v>
      </c>
      <c r="AH560">
        <f t="shared" si="474"/>
        <v>-3423.3121602994433</v>
      </c>
      <c r="AJ560">
        <f t="shared" si="445"/>
        <v>18000</v>
      </c>
      <c r="AK560">
        <f t="shared" si="446"/>
        <v>1162210.8380374799</v>
      </c>
      <c r="AL560">
        <v>1</v>
      </c>
      <c r="AM560">
        <f t="shared" si="447"/>
        <v>710.23995657846001</v>
      </c>
      <c r="AN560">
        <f t="shared" si="475"/>
        <v>1636.396075460666</v>
      </c>
      <c r="AO560">
        <f t="shared" si="476"/>
        <v>-23.039542865723934</v>
      </c>
      <c r="AQ560">
        <f t="shared" si="448"/>
        <v>8.3531016444667679E-4</v>
      </c>
      <c r="AR560">
        <f t="shared" si="449"/>
        <v>-2.8901731689855015</v>
      </c>
      <c r="AT560">
        <f t="shared" si="470"/>
        <v>-9879.4943854537232</v>
      </c>
      <c r="AU560">
        <f t="shared" si="471"/>
        <v>-50071.029324551484</v>
      </c>
      <c r="AV560">
        <f t="shared" si="459"/>
        <v>-1.7656036228740724</v>
      </c>
      <c r="AW560">
        <f t="shared" si="460"/>
        <v>40489.428325635046</v>
      </c>
      <c r="AX560">
        <f t="shared" si="461"/>
        <v>-12759.953111920517</v>
      </c>
      <c r="AY560">
        <f t="shared" si="469"/>
        <v>-0.30529075819195217</v>
      </c>
      <c r="BA560">
        <f t="shared" si="450"/>
        <v>1.2022012213893969</v>
      </c>
      <c r="BB560">
        <f t="shared" si="462"/>
        <v>1.5995432971804211</v>
      </c>
      <c r="BC560">
        <f t="shared" si="463"/>
        <v>-1.4603128646821202</v>
      </c>
      <c r="BD560">
        <f t="shared" si="451"/>
        <v>-263.66976401055103</v>
      </c>
      <c r="BF560">
        <f t="shared" si="452"/>
        <v>-49.626217345007134</v>
      </c>
      <c r="BG560">
        <f t="shared" si="453"/>
        <v>-174.17142469286009</v>
      </c>
      <c r="BH560">
        <f t="shared" si="464"/>
        <v>5.8285753071399142</v>
      </c>
      <c r="BI560">
        <f t="shared" si="465"/>
        <v>5.8285753071399142</v>
      </c>
      <c r="BJ560">
        <f t="shared" si="454"/>
        <v>0</v>
      </c>
      <c r="BK560">
        <f t="shared" si="466"/>
        <v>0</v>
      </c>
      <c r="BM560">
        <f t="shared" si="467"/>
        <v>-51.225760642187552</v>
      </c>
      <c r="BN560">
        <f t="shared" si="455"/>
        <v>-90.501660682309051</v>
      </c>
      <c r="BQ560" s="66">
        <f t="shared" si="468"/>
        <v>18.501504097465556</v>
      </c>
    </row>
    <row r="561" spans="1:69" x14ac:dyDescent="0.2">
      <c r="A561">
        <f t="shared" si="472"/>
        <v>1735000</v>
      </c>
      <c r="B561">
        <f t="shared" si="456"/>
        <v>1735</v>
      </c>
      <c r="C561">
        <f t="shared" si="425"/>
        <v>107.92776513307255</v>
      </c>
      <c r="D561">
        <f t="shared" si="426"/>
        <v>1.5615307378388625</v>
      </c>
      <c r="F561">
        <f t="shared" si="427"/>
        <v>1.6913521382814058E-6</v>
      </c>
      <c r="G561">
        <f t="shared" si="428"/>
        <v>5.3518736727378995E-4</v>
      </c>
      <c r="H561">
        <f t="shared" si="429"/>
        <v>-3.1410574626327263</v>
      </c>
      <c r="J561">
        <f t="shared" si="430"/>
        <v>15</v>
      </c>
      <c r="M561">
        <f t="shared" si="431"/>
        <v>1.9443799181266949E-3</v>
      </c>
      <c r="N561">
        <f t="shared" si="432"/>
        <v>-1.5707963250000001</v>
      </c>
      <c r="O561">
        <f t="shared" si="433"/>
        <v>514.10753008788413</v>
      </c>
      <c r="P561">
        <f t="shared" si="434"/>
        <v>1.5688512072001475</v>
      </c>
      <c r="Q561">
        <f t="shared" si="435"/>
        <v>712.2933751742695</v>
      </c>
      <c r="R561">
        <f t="shared" si="436"/>
        <v>1.5693924104265151</v>
      </c>
      <c r="S561">
        <f t="shared" si="437"/>
        <v>1.5441249023692337E-2</v>
      </c>
      <c r="T561">
        <f t="shared" si="438"/>
        <v>-1.5553544640902683</v>
      </c>
      <c r="U561">
        <f t="shared" si="439"/>
        <v>0.98130066986223119</v>
      </c>
      <c r="V561">
        <f t="shared" si="440"/>
        <v>-0.19368995837366287</v>
      </c>
      <c r="X561">
        <f t="shared" si="457"/>
        <v>-30.591260012068339</v>
      </c>
      <c r="Y561">
        <f t="shared" si="441"/>
        <v>-100.90496418547573</v>
      </c>
      <c r="Z561">
        <f t="shared" si="458"/>
        <v>79.095035814524266</v>
      </c>
      <c r="AC561">
        <v>1</v>
      </c>
      <c r="AD561">
        <f t="shared" si="442"/>
        <v>514.10655752778007</v>
      </c>
      <c r="AE561">
        <f t="shared" si="443"/>
        <v>-5.604443437087883E-3</v>
      </c>
      <c r="AF561">
        <f t="shared" si="444"/>
        <v>2.8572376744705502E-2</v>
      </c>
      <c r="AG561">
        <f t="shared" si="473"/>
        <v>17319.894267615506</v>
      </c>
      <c r="AH561">
        <f t="shared" si="474"/>
        <v>-3432.2789677399146</v>
      </c>
      <c r="AJ561">
        <f t="shared" si="445"/>
        <v>18000</v>
      </c>
      <c r="AK561">
        <f t="shared" si="446"/>
        <v>1165569.8288988599</v>
      </c>
      <c r="AL561">
        <v>1</v>
      </c>
      <c r="AM561">
        <f t="shared" si="447"/>
        <v>712.29267321597001</v>
      </c>
      <c r="AN561">
        <f t="shared" si="475"/>
        <v>1636.3958887615822</v>
      </c>
      <c r="AO561">
        <f t="shared" si="476"/>
        <v>-22.973146750699353</v>
      </c>
      <c r="AQ561">
        <f t="shared" si="448"/>
        <v>8.3050263431283088E-4</v>
      </c>
      <c r="AR561">
        <f t="shared" si="449"/>
        <v>-2.8818441410655233</v>
      </c>
      <c r="AT561">
        <f t="shared" si="470"/>
        <v>-9876.9088158684208</v>
      </c>
      <c r="AU561">
        <f t="shared" si="471"/>
        <v>-49916.086335726497</v>
      </c>
      <c r="AV561">
        <f t="shared" si="459"/>
        <v>-1.7661432203332459</v>
      </c>
      <c r="AW561">
        <f t="shared" si="460"/>
        <v>40481.505879514865</v>
      </c>
      <c r="AX561">
        <f t="shared" si="461"/>
        <v>-12765.488008705968</v>
      </c>
      <c r="AY561">
        <f t="shared" si="469"/>
        <v>-0.30547122547950789</v>
      </c>
      <c r="BA561">
        <f t="shared" si="450"/>
        <v>1.1987752137029606</v>
      </c>
      <c r="BB561">
        <f t="shared" si="462"/>
        <v>1.5747550948262288</v>
      </c>
      <c r="BC561">
        <f t="shared" si="463"/>
        <v>-1.4606719948537381</v>
      </c>
      <c r="BD561">
        <f t="shared" si="451"/>
        <v>-263.69034065370408</v>
      </c>
      <c r="BF561">
        <f t="shared" si="452"/>
        <v>-49.676075304120118</v>
      </c>
      <c r="BG561">
        <f t="shared" si="453"/>
        <v>-174.19055571592591</v>
      </c>
      <c r="BH561">
        <f t="shared" si="464"/>
        <v>5.8094442840740896</v>
      </c>
      <c r="BI561">
        <f t="shared" si="465"/>
        <v>5.8094442840740896</v>
      </c>
      <c r="BJ561">
        <f t="shared" si="454"/>
        <v>0</v>
      </c>
      <c r="BK561">
        <f t="shared" si="466"/>
        <v>0</v>
      </c>
      <c r="BM561">
        <f t="shared" si="467"/>
        <v>-51.250830398946349</v>
      </c>
      <c r="BN561">
        <f t="shared" si="455"/>
        <v>-90.500215062221855</v>
      </c>
      <c r="BQ561" s="66">
        <f t="shared" si="468"/>
        <v>18.476715895111365</v>
      </c>
    </row>
    <row r="562" spans="1:69" x14ac:dyDescent="0.2">
      <c r="A562">
        <f t="shared" si="472"/>
        <v>1740000</v>
      </c>
      <c r="B562">
        <f t="shared" si="456"/>
        <v>1740</v>
      </c>
      <c r="C562">
        <f t="shared" si="425"/>
        <v>108.23876949326848</v>
      </c>
      <c r="D562">
        <f t="shared" si="426"/>
        <v>1.5615573615771987</v>
      </c>
      <c r="F562">
        <f t="shared" si="427"/>
        <v>1.6816456747274668E-6</v>
      </c>
      <c r="G562">
        <f t="shared" si="428"/>
        <v>5.3364946760890253E-4</v>
      </c>
      <c r="H562">
        <f t="shared" si="429"/>
        <v>-3.1410590005323913</v>
      </c>
      <c r="J562">
        <f t="shared" si="430"/>
        <v>15</v>
      </c>
      <c r="M562">
        <f t="shared" si="431"/>
        <v>1.9387926195113879E-3</v>
      </c>
      <c r="N562">
        <f t="shared" si="432"/>
        <v>-1.5707963250000001</v>
      </c>
      <c r="O562">
        <f t="shared" si="433"/>
        <v>515.58910238691647</v>
      </c>
      <c r="P562">
        <f t="shared" si="434"/>
        <v>1.5688567966102327</v>
      </c>
      <c r="Q562">
        <f t="shared" si="435"/>
        <v>714.34608979465997</v>
      </c>
      <c r="R562">
        <f t="shared" si="436"/>
        <v>1.5693964446636748</v>
      </c>
      <c r="S562">
        <f t="shared" si="437"/>
        <v>1.5396888152475235E-2</v>
      </c>
      <c r="T562">
        <f t="shared" si="438"/>
        <v>-1.5553988302357766</v>
      </c>
      <c r="U562">
        <f t="shared" si="439"/>
        <v>0.9811957627958181</v>
      </c>
      <c r="V562">
        <f t="shared" si="440"/>
        <v>-0.1942342284133963</v>
      </c>
      <c r="X562">
        <f t="shared" si="457"/>
        <v>-30.617180438126198</v>
      </c>
      <c r="Y562">
        <f t="shared" si="441"/>
        <v>-100.93670184754296</v>
      </c>
      <c r="Z562">
        <f t="shared" si="458"/>
        <v>79.063298152457037</v>
      </c>
      <c r="AC562">
        <v>1</v>
      </c>
      <c r="AD562">
        <f t="shared" si="442"/>
        <v>515.58813262152012</v>
      </c>
      <c r="AE562">
        <f t="shared" si="443"/>
        <v>-5.636792249791054E-3</v>
      </c>
      <c r="AF562">
        <f t="shared" si="444"/>
        <v>2.8654717888062002E-2</v>
      </c>
      <c r="AG562">
        <f t="shared" si="473"/>
        <v>17316.191259493986</v>
      </c>
      <c r="AH562">
        <f t="shared" si="474"/>
        <v>-3441.240394430713</v>
      </c>
      <c r="AJ562">
        <f t="shared" si="445"/>
        <v>18000</v>
      </c>
      <c r="AK562">
        <f t="shared" si="446"/>
        <v>1168928.8197602399</v>
      </c>
      <c r="AL562">
        <v>1</v>
      </c>
      <c r="AM562">
        <f t="shared" si="447"/>
        <v>714.34538985348001</v>
      </c>
      <c r="AN562">
        <f t="shared" si="475"/>
        <v>1636.3957036696561</v>
      </c>
      <c r="AO562">
        <f t="shared" si="476"/>
        <v>-22.907132220292901</v>
      </c>
      <c r="AQ562">
        <f t="shared" si="448"/>
        <v>8.2573648882477133E-4</v>
      </c>
      <c r="AR562">
        <f t="shared" si="449"/>
        <v>-2.8735629811102044</v>
      </c>
      <c r="AT562">
        <f t="shared" si="470"/>
        <v>-9874.3223955667418</v>
      </c>
      <c r="AU562">
        <f t="shared" si="471"/>
        <v>-49762.0077348665</v>
      </c>
      <c r="AV562">
        <f t="shared" si="459"/>
        <v>-1.7666827290790268</v>
      </c>
      <c r="AW562">
        <f t="shared" si="460"/>
        <v>40473.559798949878</v>
      </c>
      <c r="AX562">
        <f t="shared" si="461"/>
        <v>-12771.094785794814</v>
      </c>
      <c r="AY562">
        <f t="shared" si="469"/>
        <v>-0.3056535256079021</v>
      </c>
      <c r="BA562">
        <f t="shared" si="450"/>
        <v>1.1953685661982907</v>
      </c>
      <c r="BB562">
        <f t="shared" si="462"/>
        <v>1.5500366259693423</v>
      </c>
      <c r="BC562">
        <f t="shared" si="463"/>
        <v>-1.4610292034711247</v>
      </c>
      <c r="BD562">
        <f t="shared" si="451"/>
        <v>-263.71080719990937</v>
      </c>
      <c r="BF562">
        <f t="shared" si="452"/>
        <v>-49.725791373634067</v>
      </c>
      <c r="BG562">
        <f t="shared" si="453"/>
        <v>-174.20958494944821</v>
      </c>
      <c r="BH562">
        <f t="shared" si="464"/>
        <v>5.7904150505517862</v>
      </c>
      <c r="BI562">
        <f t="shared" si="465"/>
        <v>5.7904150505517862</v>
      </c>
      <c r="BJ562">
        <f t="shared" si="454"/>
        <v>0</v>
      </c>
      <c r="BK562">
        <f t="shared" si="466"/>
        <v>0</v>
      </c>
      <c r="BM562">
        <f t="shared" si="467"/>
        <v>-51.275827999603408</v>
      </c>
      <c r="BN562">
        <f t="shared" si="455"/>
        <v>-90.498777749538803</v>
      </c>
      <c r="BQ562" s="66">
        <f t="shared" si="468"/>
        <v>18.451997426254479</v>
      </c>
    </row>
    <row r="563" spans="1:69" x14ac:dyDescent="0.2">
      <c r="A563">
        <f t="shared" si="472"/>
        <v>1745000</v>
      </c>
      <c r="B563">
        <f t="shared" si="456"/>
        <v>1745</v>
      </c>
      <c r="C563">
        <f t="shared" si="425"/>
        <v>108.54977392974696</v>
      </c>
      <c r="D563">
        <f t="shared" si="426"/>
        <v>1.5615838327569542</v>
      </c>
      <c r="F563">
        <f t="shared" si="427"/>
        <v>1.6720225284007474E-6</v>
      </c>
      <c r="G563">
        <f t="shared" si="428"/>
        <v>5.3212038116481799E-4</v>
      </c>
      <c r="H563">
        <f t="shared" si="429"/>
        <v>-3.1410605296188354</v>
      </c>
      <c r="J563">
        <f t="shared" si="430"/>
        <v>15</v>
      </c>
      <c r="M563">
        <f t="shared" si="431"/>
        <v>1.933237339799321E-3</v>
      </c>
      <c r="N563">
        <f t="shared" si="432"/>
        <v>-1.5707963250000001</v>
      </c>
      <c r="O563">
        <f t="shared" si="433"/>
        <v>517.07067470196421</v>
      </c>
      <c r="P563">
        <f t="shared" si="434"/>
        <v>1.5688623539894349</v>
      </c>
      <c r="Q563">
        <f t="shared" si="435"/>
        <v>716.39880442660979</v>
      </c>
      <c r="R563">
        <f t="shared" si="436"/>
        <v>1.569400455782042</v>
      </c>
      <c r="S563">
        <f t="shared" si="437"/>
        <v>1.5352781408144977E-2</v>
      </c>
      <c r="T563">
        <f t="shared" si="438"/>
        <v>-1.5554429421941334</v>
      </c>
      <c r="U563">
        <f t="shared" si="439"/>
        <v>0.98109058762232659</v>
      </c>
      <c r="V563">
        <f t="shared" si="440"/>
        <v>-0.19477838193279723</v>
      </c>
      <c r="X563">
        <f t="shared" si="457"/>
        <v>-30.643031644982138</v>
      </c>
      <c r="Y563">
        <f t="shared" si="441"/>
        <v>-100.96842966548203</v>
      </c>
      <c r="Z563">
        <f t="shared" si="458"/>
        <v>79.031570334517966</v>
      </c>
      <c r="AC563">
        <v>1</v>
      </c>
      <c r="AD563">
        <f t="shared" si="442"/>
        <v>517.06970771526005</v>
      </c>
      <c r="AE563">
        <f t="shared" si="443"/>
        <v>-5.6692341526027226E-3</v>
      </c>
      <c r="AF563">
        <f t="shared" si="444"/>
        <v>2.8737059031418506E-2</v>
      </c>
      <c r="AG563">
        <f t="shared" si="473"/>
        <v>17312.47918514708</v>
      </c>
      <c r="AH563">
        <f t="shared" si="474"/>
        <v>-3450.1964224752278</v>
      </c>
      <c r="AJ563">
        <f t="shared" si="445"/>
        <v>18000</v>
      </c>
      <c r="AK563">
        <f t="shared" si="446"/>
        <v>1172287.8106216199</v>
      </c>
      <c r="AL563">
        <v>1</v>
      </c>
      <c r="AM563">
        <f t="shared" si="447"/>
        <v>716.39810649099002</v>
      </c>
      <c r="AN563">
        <f t="shared" si="475"/>
        <v>1636.395520166493</v>
      </c>
      <c r="AO563">
        <f t="shared" si="476"/>
        <v>-22.841495994433242</v>
      </c>
      <c r="AQ563">
        <f t="shared" si="448"/>
        <v>8.2101125434017334E-4</v>
      </c>
      <c r="AR563">
        <f t="shared" si="449"/>
        <v>-2.8653292776472052</v>
      </c>
      <c r="AT563">
        <f t="shared" si="470"/>
        <v>-9871.7350827003793</v>
      </c>
      <c r="AU563">
        <f t="shared" si="471"/>
        <v>-49608.786127952299</v>
      </c>
      <c r="AV563">
        <f t="shared" si="459"/>
        <v>-1.7672221485897075</v>
      </c>
      <c r="AW563">
        <f t="shared" si="460"/>
        <v>40465.590149431991</v>
      </c>
      <c r="AX563">
        <f t="shared" si="461"/>
        <v>-12776.772681125931</v>
      </c>
      <c r="AY563">
        <f t="shared" si="469"/>
        <v>-0.3058376417504457</v>
      </c>
      <c r="BA563">
        <f t="shared" si="450"/>
        <v>1.1919811161592535</v>
      </c>
      <c r="BB563">
        <f t="shared" si="462"/>
        <v>1.52538750384281</v>
      </c>
      <c r="BC563">
        <f t="shared" si="463"/>
        <v>-1.4613845068392619</v>
      </c>
      <c r="BD563">
        <f t="shared" si="451"/>
        <v>-263.7311645833737</v>
      </c>
      <c r="BF563">
        <f t="shared" si="452"/>
        <v>-49.775366354521864</v>
      </c>
      <c r="BG563">
        <f t="shared" si="453"/>
        <v>-174.22851325623191</v>
      </c>
      <c r="BH563">
        <f t="shared" si="464"/>
        <v>5.7714867437680937</v>
      </c>
      <c r="BI563">
        <f t="shared" si="465"/>
        <v>5.7714867437680937</v>
      </c>
      <c r="BJ563">
        <f t="shared" si="454"/>
        <v>0</v>
      </c>
      <c r="BK563">
        <f t="shared" si="466"/>
        <v>0</v>
      </c>
      <c r="BM563">
        <f t="shared" si="467"/>
        <v>-51.300753858364686</v>
      </c>
      <c r="BN563">
        <f t="shared" si="455"/>
        <v>-90.497348672858209</v>
      </c>
      <c r="BQ563" s="66">
        <f t="shared" si="468"/>
        <v>18.427348304127946</v>
      </c>
    </row>
    <row r="564" spans="1:69" x14ac:dyDescent="0.2">
      <c r="A564">
        <f t="shared" si="472"/>
        <v>1750000</v>
      </c>
      <c r="B564">
        <f t="shared" si="456"/>
        <v>1750</v>
      </c>
      <c r="C564">
        <f t="shared" si="425"/>
        <v>108.86077844185421</v>
      </c>
      <c r="D564">
        <f t="shared" si="426"/>
        <v>1.5616101526856261</v>
      </c>
      <c r="F564">
        <f t="shared" si="427"/>
        <v>1.6624817484635083E-6</v>
      </c>
      <c r="G564">
        <f t="shared" si="428"/>
        <v>5.3060003239916386E-4</v>
      </c>
      <c r="H564">
        <f t="shared" si="429"/>
        <v>-3.141062049967601</v>
      </c>
      <c r="J564">
        <f t="shared" si="430"/>
        <v>15</v>
      </c>
      <c r="M564">
        <f t="shared" si="431"/>
        <v>1.9277138045427516E-3</v>
      </c>
      <c r="N564">
        <f t="shared" si="432"/>
        <v>-1.5707963250000001</v>
      </c>
      <c r="O564">
        <f t="shared" si="433"/>
        <v>518.55224703289025</v>
      </c>
      <c r="P564">
        <f t="shared" si="434"/>
        <v>1.5688678796123026</v>
      </c>
      <c r="Q564">
        <f t="shared" si="435"/>
        <v>718.45151907001991</v>
      </c>
      <c r="R564">
        <f t="shared" si="436"/>
        <v>1.5694044439797776</v>
      </c>
      <c r="S564">
        <f t="shared" si="437"/>
        <v>1.5308926613496567E-2</v>
      </c>
      <c r="T564">
        <f t="shared" si="438"/>
        <v>-1.5554868021434016</v>
      </c>
      <c r="U564">
        <f t="shared" si="439"/>
        <v>0.98098514461478925</v>
      </c>
      <c r="V564">
        <f t="shared" si="440"/>
        <v>-0.19532241864713221</v>
      </c>
      <c r="X564">
        <f t="shared" si="457"/>
        <v>-30.66881404108479</v>
      </c>
      <c r="Y564">
        <f t="shared" si="441"/>
        <v>-101.0001476501026</v>
      </c>
      <c r="Z564">
        <f t="shared" si="458"/>
        <v>78.999852349897395</v>
      </c>
      <c r="AC564">
        <v>1</v>
      </c>
      <c r="AD564">
        <f t="shared" si="442"/>
        <v>518.55128280899999</v>
      </c>
      <c r="AE564">
        <f t="shared" si="443"/>
        <v>-5.7017691455228904E-3</v>
      </c>
      <c r="AF564">
        <f t="shared" si="444"/>
        <v>2.8819400174774999E-2</v>
      </c>
      <c r="AG564">
        <f t="shared" si="473"/>
        <v>17308.758057252795</v>
      </c>
      <c r="AH564">
        <f t="shared" si="474"/>
        <v>-3459.1470340670626</v>
      </c>
      <c r="AJ564">
        <f t="shared" si="445"/>
        <v>18000</v>
      </c>
      <c r="AK564">
        <f t="shared" si="446"/>
        <v>1175646.8014829999</v>
      </c>
      <c r="AL564">
        <v>1</v>
      </c>
      <c r="AM564">
        <f t="shared" si="447"/>
        <v>718.45082312849991</v>
      </c>
      <c r="AN564">
        <f t="shared" si="475"/>
        <v>1636.3953382339625</v>
      </c>
      <c r="AO564">
        <f t="shared" si="476"/>
        <v>-22.77623483053522</v>
      </c>
      <c r="AQ564">
        <f t="shared" si="448"/>
        <v>8.163264639733499E-4</v>
      </c>
      <c r="AR564">
        <f t="shared" si="449"/>
        <v>-2.8571426239067246</v>
      </c>
      <c r="AT564">
        <f t="shared" si="470"/>
        <v>-9869.1468361328843</v>
      </c>
      <c r="AU564">
        <f t="shared" si="471"/>
        <v>-49456.414205532594</v>
      </c>
      <c r="AV564">
        <f t="shared" si="459"/>
        <v>-1.7677614783466828</v>
      </c>
      <c r="AW564">
        <f t="shared" si="460"/>
        <v>40457.59699597532</v>
      </c>
      <c r="AX564">
        <f t="shared" si="461"/>
        <v>-12782.52094109156</v>
      </c>
      <c r="AY564">
        <f t="shared" si="469"/>
        <v>-0.30602355726690939</v>
      </c>
      <c r="BA564">
        <f t="shared" si="450"/>
        <v>1.1886127026774873</v>
      </c>
      <c r="BB564">
        <f t="shared" si="462"/>
        <v>1.5008073448489898</v>
      </c>
      <c r="BC564">
        <f t="shared" si="463"/>
        <v>-1.4617379210797734</v>
      </c>
      <c r="BD564">
        <f t="shared" si="451"/>
        <v>-263.75141372779797</v>
      </c>
      <c r="BF564">
        <f t="shared" si="452"/>
        <v>-49.824801041030483</v>
      </c>
      <c r="BG564">
        <f t="shared" si="453"/>
        <v>-174.2473414893922</v>
      </c>
      <c r="BH564">
        <f t="shared" si="464"/>
        <v>5.7526585106078016</v>
      </c>
      <c r="BI564">
        <f t="shared" si="465"/>
        <v>5.7526585106078016</v>
      </c>
      <c r="BJ564">
        <f t="shared" si="454"/>
        <v>0</v>
      </c>
      <c r="BK564">
        <f t="shared" si="466"/>
        <v>0</v>
      </c>
      <c r="BM564">
        <f t="shared" si="467"/>
        <v>-51.325608385879477</v>
      </c>
      <c r="BN564">
        <f t="shared" si="455"/>
        <v>-90.49592776159426</v>
      </c>
      <c r="BQ564" s="66">
        <f t="shared" si="468"/>
        <v>18.402768145134129</v>
      </c>
    </row>
    <row r="565" spans="1:69" x14ac:dyDescent="0.2">
      <c r="A565">
        <f t="shared" si="472"/>
        <v>1755000</v>
      </c>
      <c r="B565">
        <f t="shared" si="456"/>
        <v>1755</v>
      </c>
      <c r="C565">
        <f t="shared" si="425"/>
        <v>109.17178302894385</v>
      </c>
      <c r="D565">
        <f t="shared" si="426"/>
        <v>1.5616363226558136</v>
      </c>
      <c r="F565">
        <f t="shared" si="427"/>
        <v>1.653022397603427E-6</v>
      </c>
      <c r="G565">
        <f t="shared" si="428"/>
        <v>5.2908834663045561E-4</v>
      </c>
      <c r="H565">
        <f t="shared" si="429"/>
        <v>-3.14106356165337</v>
      </c>
      <c r="J565">
        <f t="shared" si="430"/>
        <v>15</v>
      </c>
      <c r="M565">
        <f t="shared" si="431"/>
        <v>1.9222217424215474E-3</v>
      </c>
      <c r="N565">
        <f t="shared" si="432"/>
        <v>-1.5707963250000001</v>
      </c>
      <c r="O565">
        <f t="shared" si="433"/>
        <v>520.03381937955862</v>
      </c>
      <c r="P565">
        <f t="shared" si="434"/>
        <v>1.5688733737502567</v>
      </c>
      <c r="Q565">
        <f t="shared" si="435"/>
        <v>720.50423372479247</v>
      </c>
      <c r="R565">
        <f t="shared" si="436"/>
        <v>1.5694084094527836</v>
      </c>
      <c r="S565">
        <f t="shared" si="437"/>
        <v>1.5265321616121919E-2</v>
      </c>
      <c r="T565">
        <f t="shared" si="438"/>
        <v>-1.5555304122368332</v>
      </c>
      <c r="U565">
        <f t="shared" si="439"/>
        <v>0.98087943404677425</v>
      </c>
      <c r="V565">
        <f t="shared" si="440"/>
        <v>-0.19586633827206662</v>
      </c>
      <c r="X565">
        <f t="shared" si="457"/>
        <v>-30.694528031371277</v>
      </c>
      <c r="Y565">
        <f t="shared" si="441"/>
        <v>-101.03185581192866</v>
      </c>
      <c r="Z565">
        <f t="shared" si="458"/>
        <v>78.968144188071335</v>
      </c>
      <c r="AC565">
        <v>1</v>
      </c>
      <c r="AD565">
        <f t="shared" si="442"/>
        <v>520.03285790274003</v>
      </c>
      <c r="AE565">
        <f t="shared" si="443"/>
        <v>-5.7343972285515557E-3</v>
      </c>
      <c r="AF565">
        <f t="shared" si="444"/>
        <v>2.8901741318131502E-2</v>
      </c>
      <c r="AG565">
        <f t="shared" si="473"/>
        <v>17305.027888511642</v>
      </c>
      <c r="AH565">
        <f t="shared" si="474"/>
        <v>-3468.0922114892373</v>
      </c>
      <c r="AJ565">
        <f t="shared" si="445"/>
        <v>18000</v>
      </c>
      <c r="AK565">
        <f t="shared" si="446"/>
        <v>1179005.7923443799</v>
      </c>
      <c r="AL565">
        <v>1</v>
      </c>
      <c r="AM565">
        <f t="shared" si="447"/>
        <v>720.50353976601002</v>
      </c>
      <c r="AN565">
        <f t="shared" si="475"/>
        <v>1636.3951578541903</v>
      </c>
      <c r="AO565">
        <f t="shared" si="476"/>
        <v>-22.711345522965836</v>
      </c>
      <c r="AQ565">
        <f t="shared" si="448"/>
        <v>8.1168165747991835E-4</v>
      </c>
      <c r="AR565">
        <f t="shared" si="449"/>
        <v>-2.8490026177545134</v>
      </c>
      <c r="AT565">
        <f t="shared" si="470"/>
        <v>-9866.5576154275932</v>
      </c>
      <c r="AU565">
        <f t="shared" si="471"/>
        <v>-49304.884741519039</v>
      </c>
      <c r="AV565">
        <f t="shared" si="459"/>
        <v>-1.768300717834411</v>
      </c>
      <c r="AW565">
        <f t="shared" si="460"/>
        <v>40449.580403124884</v>
      </c>
      <c r="AX565">
        <f t="shared" si="461"/>
        <v>-12788.338820417943</v>
      </c>
      <c r="AY565">
        <f t="shared" si="469"/>
        <v>-0.30621125570092317</v>
      </c>
      <c r="BA565">
        <f t="shared" si="450"/>
        <v>1.1852631666275191</v>
      </c>
      <c r="BB565">
        <f t="shared" si="462"/>
        <v>1.4762957685254929</v>
      </c>
      <c r="BC565">
        <f t="shared" si="463"/>
        <v>-1.4620894621334879</v>
      </c>
      <c r="BD565">
        <f t="shared" si="451"/>
        <v>-263.77155554652438</v>
      </c>
      <c r="BF565">
        <f t="shared" si="452"/>
        <v>-49.87409622075554</v>
      </c>
      <c r="BG565">
        <f t="shared" si="453"/>
        <v>-174.26607049248983</v>
      </c>
      <c r="BH565">
        <f t="shared" si="464"/>
        <v>5.7339295075101688</v>
      </c>
      <c r="BI565">
        <f t="shared" si="465"/>
        <v>5.7339295075101688</v>
      </c>
      <c r="BJ565">
        <f t="shared" si="454"/>
        <v>0</v>
      </c>
      <c r="BK565">
        <f t="shared" si="466"/>
        <v>0</v>
      </c>
      <c r="BM565">
        <f t="shared" si="467"/>
        <v>-51.350391989281036</v>
      </c>
      <c r="BN565">
        <f t="shared" si="455"/>
        <v>-90.49451494596542</v>
      </c>
      <c r="BQ565" s="66">
        <f t="shared" si="468"/>
        <v>18.378256568810627</v>
      </c>
    </row>
    <row r="566" spans="1:69" x14ac:dyDescent="0.2">
      <c r="A566">
        <f t="shared" si="472"/>
        <v>1760000</v>
      </c>
      <c r="B566">
        <f t="shared" si="456"/>
        <v>1760</v>
      </c>
      <c r="C566">
        <f t="shared" si="425"/>
        <v>109.4827876903769</v>
      </c>
      <c r="D566">
        <f t="shared" si="426"/>
        <v>1.5616623439454291</v>
      </c>
      <c r="F566">
        <f t="shared" si="427"/>
        <v>1.6436435518033776E-6</v>
      </c>
      <c r="G566">
        <f t="shared" si="428"/>
        <v>5.2758525002586884E-4</v>
      </c>
      <c r="H566">
        <f t="shared" si="429"/>
        <v>-3.1410650647499745</v>
      </c>
      <c r="J566">
        <f t="shared" si="430"/>
        <v>15</v>
      </c>
      <c r="M566">
        <f t="shared" si="431"/>
        <v>1.9167608851987585E-3</v>
      </c>
      <c r="N566">
        <f t="shared" si="432"/>
        <v>-1.5707963250000001</v>
      </c>
      <c r="O566">
        <f t="shared" si="433"/>
        <v>521.51539174183551</v>
      </c>
      <c r="P566">
        <f t="shared" si="434"/>
        <v>1.5688788366716329</v>
      </c>
      <c r="Q566">
        <f t="shared" si="435"/>
        <v>722.5569483908306</v>
      </c>
      <c r="R566">
        <f t="shared" si="436"/>
        <v>1.5694123523947363</v>
      </c>
      <c r="S566">
        <f t="shared" si="437"/>
        <v>1.5221964288057875E-2</v>
      </c>
      <c r="T566">
        <f t="shared" si="438"/>
        <v>-1.5555737746032205</v>
      </c>
      <c r="U566">
        <f t="shared" si="439"/>
        <v>0.98077345619238476</v>
      </c>
      <c r="V566">
        <f t="shared" si="440"/>
        <v>-0.19641014052366537</v>
      </c>
      <c r="X566">
        <f t="shared" si="457"/>
        <v>-30.720174017307109</v>
      </c>
      <c r="Y566">
        <f t="shared" si="441"/>
        <v>-101.06355416120266</v>
      </c>
      <c r="Z566">
        <f t="shared" si="458"/>
        <v>78.93644583879734</v>
      </c>
      <c r="AC566">
        <v>1</v>
      </c>
      <c r="AD566">
        <f t="shared" si="442"/>
        <v>521.51443299648008</v>
      </c>
      <c r="AE566">
        <f t="shared" si="443"/>
        <v>-5.7671184016887204E-3</v>
      </c>
      <c r="AF566">
        <f t="shared" si="444"/>
        <v>2.8984082461488002E-2</v>
      </c>
      <c r="AG566">
        <f t="shared" si="473"/>
        <v>17301.288691646558</v>
      </c>
      <c r="AH566">
        <f t="shared" si="474"/>
        <v>-3477.0319371134578</v>
      </c>
      <c r="AJ566">
        <f t="shared" si="445"/>
        <v>18000</v>
      </c>
      <c r="AK566">
        <f t="shared" si="446"/>
        <v>1182364.7832057599</v>
      </c>
      <c r="AL566">
        <v>1</v>
      </c>
      <c r="AM566">
        <f t="shared" si="447"/>
        <v>722.55625640352002</v>
      </c>
      <c r="AN566">
        <f t="shared" si="475"/>
        <v>1636.3949790095573</v>
      </c>
      <c r="AO566">
        <f t="shared" si="476"/>
        <v>-22.646824902519416</v>
      </c>
      <c r="AQ566">
        <f t="shared" si="448"/>
        <v>8.0707638114375794E-4</v>
      </c>
      <c r="AR566">
        <f t="shared" si="449"/>
        <v>-2.8409088616260281</v>
      </c>
      <c r="AT566">
        <f t="shared" si="470"/>
        <v>-9863.9673808359603</v>
      </c>
      <c r="AU566">
        <f t="shared" si="471"/>
        <v>-49154.190592001825</v>
      </c>
      <c r="AV566">
        <f t="shared" si="459"/>
        <v>-1.7688398665403775</v>
      </c>
      <c r="AW566">
        <f t="shared" si="460"/>
        <v>40441.540434965274</v>
      </c>
      <c r="AX566">
        <f t="shared" si="461"/>
        <v>-12794.225582048161</v>
      </c>
      <c r="AY566">
        <f t="shared" si="469"/>
        <v>-0.30640072077742109</v>
      </c>
      <c r="BA566">
        <f t="shared" si="450"/>
        <v>1.1819323506422859</v>
      </c>
      <c r="BB566">
        <f t="shared" si="462"/>
        <v>1.4518523975115596</v>
      </c>
      <c r="BC566">
        <f t="shared" si="463"/>
        <v>-1.4624391457629564</v>
      </c>
      <c r="BD566">
        <f t="shared" si="451"/>
        <v>-263.79159094268067</v>
      </c>
      <c r="BF566">
        <f t="shared" si="452"/>
        <v>-49.923252674714973</v>
      </c>
      <c r="BG566">
        <f t="shared" si="453"/>
        <v>-174.28470109966366</v>
      </c>
      <c r="BH566">
        <f t="shared" si="464"/>
        <v>5.7152989003363359</v>
      </c>
      <c r="BI566">
        <f t="shared" si="465"/>
        <v>5.7152989003363359</v>
      </c>
      <c r="BJ566">
        <f t="shared" si="454"/>
        <v>0</v>
      </c>
      <c r="BK566">
        <f t="shared" si="466"/>
        <v>0</v>
      </c>
      <c r="BM566">
        <f t="shared" si="467"/>
        <v>-51.375105072226539</v>
      </c>
      <c r="BN566">
        <f t="shared" si="455"/>
        <v>-90.493110156983008</v>
      </c>
      <c r="BQ566" s="66">
        <f t="shared" si="468"/>
        <v>18.353813197796697</v>
      </c>
    </row>
    <row r="567" spans="1:69" x14ac:dyDescent="0.2">
      <c r="A567">
        <f t="shared" si="472"/>
        <v>1765000</v>
      </c>
      <c r="B567">
        <f t="shared" si="456"/>
        <v>1765</v>
      </c>
      <c r="C567">
        <f t="shared" si="425"/>
        <v>109.79379242552159</v>
      </c>
      <c r="D567">
        <f t="shared" si="426"/>
        <v>1.5616882178179066</v>
      </c>
      <c r="F567">
        <f t="shared" si="427"/>
        <v>1.6343443001157705E-6</v>
      </c>
      <c r="G567">
        <f t="shared" si="428"/>
        <v>5.2609066958921806E-4</v>
      </c>
      <c r="H567">
        <f t="shared" si="429"/>
        <v>-3.1410665593304108</v>
      </c>
      <c r="J567">
        <f t="shared" si="430"/>
        <v>15</v>
      </c>
      <c r="M567">
        <f t="shared" si="431"/>
        <v>1.9113309676769491E-3</v>
      </c>
      <c r="N567">
        <f t="shared" si="432"/>
        <v>-1.5707963250000001</v>
      </c>
      <c r="O567">
        <f t="shared" si="433"/>
        <v>522.9969641195878</v>
      </c>
      <c r="P567">
        <f t="shared" si="434"/>
        <v>1.5688842686417266</v>
      </c>
      <c r="Q567">
        <f t="shared" si="435"/>
        <v>724.60966306803846</v>
      </c>
      <c r="R567">
        <f t="shared" si="436"/>
        <v>1.5694162729971171</v>
      </c>
      <c r="S567">
        <f t="shared" si="437"/>
        <v>1.5178852525440207E-2</v>
      </c>
      <c r="T567">
        <f t="shared" si="438"/>
        <v>-1.5556168913472432</v>
      </c>
      <c r="U567">
        <f t="shared" si="439"/>
        <v>0.98066721132625567</v>
      </c>
      <c r="V567">
        <f t="shared" si="440"/>
        <v>-0.19695382511839357</v>
      </c>
      <c r="X567">
        <f t="shared" si="457"/>
        <v>-30.74575239692555</v>
      </c>
      <c r="Y567">
        <f t="shared" si="441"/>
        <v>-101.09524270789007</v>
      </c>
      <c r="Z567">
        <f t="shared" si="458"/>
        <v>78.904757292109934</v>
      </c>
      <c r="AC567">
        <v>1</v>
      </c>
      <c r="AD567">
        <f t="shared" si="442"/>
        <v>522.99600809022013</v>
      </c>
      <c r="AE567">
        <f t="shared" si="443"/>
        <v>-5.7999326649343826E-3</v>
      </c>
      <c r="AF567">
        <f t="shared" si="444"/>
        <v>2.9066423604844498E-2</v>
      </c>
      <c r="AG567">
        <f t="shared" si="473"/>
        <v>17297.540479402785</v>
      </c>
      <c r="AH567">
        <f t="shared" si="474"/>
        <v>-3485.9661933993557</v>
      </c>
      <c r="AJ567">
        <f t="shared" si="445"/>
        <v>18000</v>
      </c>
      <c r="AK567">
        <f t="shared" si="446"/>
        <v>1185723.77406714</v>
      </c>
      <c r="AL567">
        <v>1</v>
      </c>
      <c r="AM567">
        <f t="shared" si="447"/>
        <v>724.60897304103003</v>
      </c>
      <c r="AN567">
        <f t="shared" si="475"/>
        <v>1636.3948016826923</v>
      </c>
      <c r="AO567">
        <f t="shared" si="476"/>
        <v>-22.582669835901605</v>
      </c>
      <c r="AQ567">
        <f t="shared" si="448"/>
        <v>8.0251018766620483E-4</v>
      </c>
      <c r="AR567">
        <f t="shared" si="449"/>
        <v>-2.8328609624617034</v>
      </c>
      <c r="AT567">
        <f t="shared" si="470"/>
        <v>-9861.3760932859695</v>
      </c>
      <c r="AU567">
        <f t="shared" si="471"/>
        <v>-49004.324694085313</v>
      </c>
      <c r="AV567">
        <f t="shared" si="459"/>
        <v>-1.7693789239550579</v>
      </c>
      <c r="AW567">
        <f t="shared" si="460"/>
        <v>40433.47715512901</v>
      </c>
      <c r="AX567">
        <f t="shared" si="461"/>
        <v>-12800.18049702682</v>
      </c>
      <c r="AY567">
        <f t="shared" si="469"/>
        <v>-0.30659193640012655</v>
      </c>
      <c r="BA567">
        <f t="shared" si="450"/>
        <v>1.1786200990890561</v>
      </c>
      <c r="BB567">
        <f t="shared" si="462"/>
        <v>1.4274768575148737</v>
      </c>
      <c r="BC567">
        <f t="shared" si="463"/>
        <v>-1.4627869875549313</v>
      </c>
      <c r="BD567">
        <f t="shared" si="451"/>
        <v>-263.81152080932185</v>
      </c>
      <c r="BF567">
        <f t="shared" si="452"/>
        <v>-49.972271177421717</v>
      </c>
      <c r="BG567">
        <f t="shared" si="453"/>
        <v>-174.30323413576178</v>
      </c>
      <c r="BH567">
        <f t="shared" si="464"/>
        <v>5.6967658642382162</v>
      </c>
      <c r="BI567">
        <f t="shared" si="465"/>
        <v>5.6967658642382162</v>
      </c>
      <c r="BJ567">
        <f t="shared" si="454"/>
        <v>0</v>
      </c>
      <c r="BK567">
        <f t="shared" si="466"/>
        <v>0</v>
      </c>
      <c r="BM567">
        <f t="shared" si="467"/>
        <v>-51.399748034936593</v>
      </c>
      <c r="BN567">
        <f t="shared" si="455"/>
        <v>-90.491713326439935</v>
      </c>
      <c r="BQ567" s="66">
        <f t="shared" si="468"/>
        <v>18.32943765780001</v>
      </c>
    </row>
    <row r="568" spans="1:69" x14ac:dyDescent="0.2">
      <c r="A568">
        <f t="shared" si="472"/>
        <v>1770000</v>
      </c>
      <c r="B568">
        <f t="shared" si="456"/>
        <v>1770</v>
      </c>
      <c r="C568">
        <f t="shared" si="425"/>
        <v>110.10479723375329</v>
      </c>
      <c r="D568">
        <f t="shared" si="426"/>
        <v>1.5617139455224058</v>
      </c>
      <c r="F568">
        <f t="shared" si="427"/>
        <v>1.6251237444413474E-6</v>
      </c>
      <c r="G568">
        <f t="shared" si="428"/>
        <v>5.2460453314914009E-4</v>
      </c>
      <c r="H568">
        <f t="shared" si="429"/>
        <v>-3.1410680454668509</v>
      </c>
      <c r="J568">
        <f t="shared" si="430"/>
        <v>15</v>
      </c>
      <c r="M568">
        <f t="shared" si="431"/>
        <v>1.9059317276552629E-3</v>
      </c>
      <c r="N568">
        <f t="shared" si="432"/>
        <v>-1.5707963250000001</v>
      </c>
      <c r="O568">
        <f t="shared" si="433"/>
        <v>524.47853651268485</v>
      </c>
      <c r="P568">
        <f t="shared" si="434"/>
        <v>1.5688896699228359</v>
      </c>
      <c r="Q568">
        <f t="shared" si="435"/>
        <v>726.66237775632146</v>
      </c>
      <c r="R568">
        <f t="shared" si="436"/>
        <v>1.569420171449244</v>
      </c>
      <c r="S568">
        <f t="shared" si="437"/>
        <v>1.5135984248163467E-2</v>
      </c>
      <c r="T568">
        <f t="shared" si="438"/>
        <v>-1.5556597645498083</v>
      </c>
      <c r="U568">
        <f t="shared" si="439"/>
        <v>0.9805606997235522</v>
      </c>
      <c r="V568">
        <f t="shared" si="440"/>
        <v>-0.19749739177311715</v>
      </c>
      <c r="X568">
        <f t="shared" si="457"/>
        <v>-30.771263564866366</v>
      </c>
      <c r="Y568">
        <f t="shared" si="441"/>
        <v>-101.12692146168354</v>
      </c>
      <c r="Z568">
        <f t="shared" si="458"/>
        <v>78.873078538316463</v>
      </c>
      <c r="AC568">
        <v>1</v>
      </c>
      <c r="AD568">
        <f t="shared" si="442"/>
        <v>524.47758318396006</v>
      </c>
      <c r="AE568">
        <f t="shared" si="443"/>
        <v>-5.8328400182885431E-3</v>
      </c>
      <c r="AF568">
        <f t="shared" si="444"/>
        <v>2.9148764748201002E-2</v>
      </c>
      <c r="AG568">
        <f t="shared" si="473"/>
        <v>17293.783264547761</v>
      </c>
      <c r="AH568">
        <f t="shared" si="474"/>
        <v>-3494.8949628937603</v>
      </c>
      <c r="AJ568">
        <f t="shared" si="445"/>
        <v>18000</v>
      </c>
      <c r="AK568">
        <f t="shared" si="446"/>
        <v>1189082.76492852</v>
      </c>
      <c r="AL568">
        <v>1</v>
      </c>
      <c r="AM568">
        <f t="shared" si="447"/>
        <v>726.66168967854003</v>
      </c>
      <c r="AN568">
        <f t="shared" si="475"/>
        <v>1636.3946258564706</v>
      </c>
      <c r="AO568">
        <f t="shared" si="476"/>
        <v>-22.518877225222163</v>
      </c>
      <c r="AQ568">
        <f t="shared" si="448"/>
        <v>7.9798263605743592E-4</v>
      </c>
      <c r="AR568">
        <f t="shared" si="449"/>
        <v>-2.824858531643323</v>
      </c>
      <c r="AT568">
        <f t="shared" si="470"/>
        <v>-9858.7837143708639</v>
      </c>
      <c r="AU568">
        <f t="shared" si="471"/>
        <v>-48855.280064743492</v>
      </c>
      <c r="AV568">
        <f t="shared" si="459"/>
        <v>-1.7699178895718823</v>
      </c>
      <c r="AW568">
        <f t="shared" si="460"/>
        <v>40425.390626804867</v>
      </c>
      <c r="AX568">
        <f t="shared" si="461"/>
        <v>-12806.202844386793</v>
      </c>
      <c r="AY568">
        <f t="shared" si="469"/>
        <v>-0.30678488664908071</v>
      </c>
      <c r="BA568">
        <f t="shared" si="450"/>
        <v>1.1753262580457422</v>
      </c>
      <c r="BB568">
        <f t="shared" si="462"/>
        <v>1.4031687772788146</v>
      </c>
      <c r="BC568">
        <f t="shared" si="463"/>
        <v>-1.4631330029228016</v>
      </c>
      <c r="BD568">
        <f t="shared" si="451"/>
        <v>-263.83134602957011</v>
      </c>
      <c r="BF568">
        <f t="shared" si="452"/>
        <v>-50.021152496955345</v>
      </c>
      <c r="BG568">
        <f t="shared" si="453"/>
        <v>-174.32167041646991</v>
      </c>
      <c r="BH568">
        <f t="shared" si="464"/>
        <v>5.6783295835300862</v>
      </c>
      <c r="BI568">
        <f t="shared" si="465"/>
        <v>5.6783295835300862</v>
      </c>
      <c r="BJ568">
        <f t="shared" si="454"/>
        <v>0</v>
      </c>
      <c r="BK568">
        <f t="shared" si="466"/>
        <v>0</v>
      </c>
      <c r="BM568">
        <f t="shared" si="467"/>
        <v>-51.42432127423416</v>
      </c>
      <c r="BN568">
        <f t="shared" si="455"/>
        <v>-90.490324386899786</v>
      </c>
      <c r="BQ568" s="66">
        <f t="shared" si="468"/>
        <v>18.30512957756395</v>
      </c>
    </row>
    <row r="569" spans="1:69" x14ac:dyDescent="0.2">
      <c r="A569">
        <f t="shared" si="472"/>
        <v>1775000</v>
      </c>
      <c r="B569">
        <f t="shared" si="456"/>
        <v>1775</v>
      </c>
      <c r="C569">
        <f t="shared" si="425"/>
        <v>110.41580211445444</v>
      </c>
      <c r="D569">
        <f t="shared" si="426"/>
        <v>1.5617395282940134</v>
      </c>
      <c r="F569">
        <f t="shared" si="427"/>
        <v>1.6159809993123327E-6</v>
      </c>
      <c r="G569">
        <f t="shared" si="428"/>
        <v>5.2312676934747663E-4</v>
      </c>
      <c r="H569">
        <f t="shared" si="429"/>
        <v>-3.1410695232306529</v>
      </c>
      <c r="J569">
        <f t="shared" si="430"/>
        <v>15</v>
      </c>
      <c r="M569">
        <f t="shared" si="431"/>
        <v>1.9005629058872198E-3</v>
      </c>
      <c r="N569">
        <f t="shared" si="432"/>
        <v>-1.5707963250000001</v>
      </c>
      <c r="O569">
        <f t="shared" si="433"/>
        <v>525.96010892099684</v>
      </c>
      <c r="P569">
        <f t="shared" si="434"/>
        <v>1.5688950407743025</v>
      </c>
      <c r="Q569">
        <f t="shared" si="435"/>
        <v>728.71509245558593</v>
      </c>
      <c r="R569">
        <f t="shared" si="436"/>
        <v>1.5694240479383019</v>
      </c>
      <c r="S569">
        <f t="shared" si="437"/>
        <v>1.5093357399546592E-2</v>
      </c>
      <c r="T569">
        <f t="shared" si="438"/>
        <v>-1.5557023962683842</v>
      </c>
      <c r="U569">
        <f t="shared" si="439"/>
        <v>0.98045392165996881</v>
      </c>
      <c r="V569">
        <f t="shared" si="440"/>
        <v>-0.19804084020510374</v>
      </c>
      <c r="X569">
        <f t="shared" si="457"/>
        <v>-30.796707912414071</v>
      </c>
      <c r="Y569">
        <f t="shared" si="441"/>
        <v>-101.15859043200719</v>
      </c>
      <c r="Z569">
        <f t="shared" si="458"/>
        <v>78.841409567992812</v>
      </c>
      <c r="AC569">
        <v>1</v>
      </c>
      <c r="AD569">
        <f t="shared" si="442"/>
        <v>525.9591582777</v>
      </c>
      <c r="AE569">
        <f t="shared" si="443"/>
        <v>-5.8658404617512021E-3</v>
      </c>
      <c r="AF569">
        <f t="shared" si="444"/>
        <v>2.9231105891557502E-2</v>
      </c>
      <c r="AG569">
        <f t="shared" si="473"/>
        <v>17290.017059871076</v>
      </c>
      <c r="AH569">
        <f t="shared" si="474"/>
        <v>-3503.8182282299927</v>
      </c>
      <c r="AJ569">
        <f t="shared" si="445"/>
        <v>18000</v>
      </c>
      <c r="AK569">
        <f t="shared" si="446"/>
        <v>1192441.7557899</v>
      </c>
      <c r="AL569">
        <v>1</v>
      </c>
      <c r="AM569">
        <f t="shared" si="447"/>
        <v>728.71440631605003</v>
      </c>
      <c r="AN569">
        <f t="shared" si="475"/>
        <v>1636.3944515140065</v>
      </c>
      <c r="AO569">
        <f t="shared" si="476"/>
        <v>-22.455444007496336</v>
      </c>
      <c r="AQ569">
        <f t="shared" si="448"/>
        <v>7.9349329152999073E-4</v>
      </c>
      <c r="AR569">
        <f t="shared" si="449"/>
        <v>-2.8169011849314671</v>
      </c>
      <c r="AT569">
        <f t="shared" si="470"/>
        <v>-9856.190206338093</v>
      </c>
      <c r="AU569">
        <f t="shared" si="471"/>
        <v>-48707.049799694956</v>
      </c>
      <c r="AV569">
        <f t="shared" si="459"/>
        <v>-1.7704567628871999</v>
      </c>
      <c r="AW569">
        <f t="shared" si="460"/>
        <v>40417.280912746071</v>
      </c>
      <c r="AX569">
        <f t="shared" si="461"/>
        <v>-12812.291911037837</v>
      </c>
      <c r="AY569">
        <f t="shared" si="469"/>
        <v>-0.30697955577821034</v>
      </c>
      <c r="BA569">
        <f t="shared" si="450"/>
        <v>1.1720506752775992</v>
      </c>
      <c r="BB569">
        <f t="shared" si="462"/>
        <v>1.3789277885501392</v>
      </c>
      <c r="BC569">
        <f t="shared" si="463"/>
        <v>-1.4634772071089897</v>
      </c>
      <c r="BD569">
        <f t="shared" si="451"/>
        <v>-263.85106747675201</v>
      </c>
      <c r="BF569">
        <f t="shared" si="452"/>
        <v>-50.069897395032683</v>
      </c>
      <c r="BG569">
        <f t="shared" si="453"/>
        <v>-174.34001074843778</v>
      </c>
      <c r="BH569">
        <f t="shared" si="464"/>
        <v>5.659989251562223</v>
      </c>
      <c r="BI569">
        <f t="shared" si="465"/>
        <v>5.659989251562223</v>
      </c>
      <c r="BJ569">
        <f t="shared" si="454"/>
        <v>0</v>
      </c>
      <c r="BK569">
        <f t="shared" si="466"/>
        <v>0</v>
      </c>
      <c r="BM569">
        <f t="shared" si="467"/>
        <v>-51.448825183582827</v>
      </c>
      <c r="BN569">
        <f t="shared" si="455"/>
        <v>-90.488943271685798</v>
      </c>
      <c r="BQ569" s="66">
        <f t="shared" si="468"/>
        <v>18.280888588835275</v>
      </c>
    </row>
    <row r="570" spans="1:69" x14ac:dyDescent="0.2">
      <c r="A570">
        <f t="shared" si="472"/>
        <v>1780000</v>
      </c>
      <c r="B570">
        <f t="shared" si="456"/>
        <v>1780</v>
      </c>
      <c r="C570">
        <f t="shared" si="425"/>
        <v>110.72680706701438</v>
      </c>
      <c r="D570">
        <f t="shared" si="426"/>
        <v>1.5617649673539407</v>
      </c>
      <c r="F570">
        <f t="shared" si="427"/>
        <v>1.60691519167984E-6</v>
      </c>
      <c r="G570">
        <f t="shared" si="428"/>
        <v>5.2165730762785225E-4</v>
      </c>
      <c r="H570">
        <f t="shared" si="429"/>
        <v>-3.1410709926923723</v>
      </c>
      <c r="J570">
        <f t="shared" si="430"/>
        <v>15</v>
      </c>
      <c r="M570">
        <f t="shared" si="431"/>
        <v>1.895224246039222E-3</v>
      </c>
      <c r="N570">
        <f t="shared" si="432"/>
        <v>-1.5707963250000001</v>
      </c>
      <c r="O570">
        <f t="shared" si="433"/>
        <v>527.44168134439519</v>
      </c>
      <c r="P570">
        <f t="shared" si="434"/>
        <v>1.5689003814525551</v>
      </c>
      <c r="Q570">
        <f t="shared" si="435"/>
        <v>730.76780716573955</v>
      </c>
      <c r="R570">
        <f t="shared" si="436"/>
        <v>1.5694279026493723</v>
      </c>
      <c r="S570">
        <f t="shared" si="437"/>
        <v>1.5050969946004125E-2</v>
      </c>
      <c r="T570">
        <f t="shared" si="438"/>
        <v>-1.5557447885373319</v>
      </c>
      <c r="U570">
        <f t="shared" si="439"/>
        <v>0.98034687741172588</v>
      </c>
      <c r="V570">
        <f t="shared" si="440"/>
        <v>-0.19858417013202323</v>
      </c>
      <c r="X570">
        <f t="shared" si="457"/>
        <v>-30.822085827535641</v>
      </c>
      <c r="Y570">
        <f t="shared" si="441"/>
        <v>-101.19024962802057</v>
      </c>
      <c r="Z570">
        <f t="shared" si="458"/>
        <v>78.809750371979433</v>
      </c>
      <c r="AC570">
        <v>1</v>
      </c>
      <c r="AD570">
        <f t="shared" si="442"/>
        <v>527.44073337144005</v>
      </c>
      <c r="AE570">
        <f t="shared" si="443"/>
        <v>-5.8989339953223596E-3</v>
      </c>
      <c r="AF570">
        <f t="shared" si="444"/>
        <v>2.9313447034914002E-2</v>
      </c>
      <c r="AG570">
        <f t="shared" si="473"/>
        <v>17286.24187818429</v>
      </c>
      <c r="AH570">
        <f t="shared" si="474"/>
        <v>-3512.7359721271496</v>
      </c>
      <c r="AJ570">
        <f t="shared" si="445"/>
        <v>18000</v>
      </c>
      <c r="AK570">
        <f t="shared" si="446"/>
        <v>1195800.74665128</v>
      </c>
      <c r="AL570">
        <v>1</v>
      </c>
      <c r="AM570">
        <f t="shared" si="447"/>
        <v>730.76712295355992</v>
      </c>
      <c r="AN570">
        <f t="shared" si="475"/>
        <v>1636.3942786386526</v>
      </c>
      <c r="AO570">
        <f t="shared" si="476"/>
        <v>-22.392367154154599</v>
      </c>
      <c r="AQ570">
        <f t="shared" si="448"/>
        <v>7.8904172539438473E-4</v>
      </c>
      <c r="AR570">
        <f t="shared" si="449"/>
        <v>-2.8089885424040095</v>
      </c>
      <c r="AT570">
        <f t="shared" si="470"/>
        <v>-9853.5955320784269</v>
      </c>
      <c r="AU570">
        <f t="shared" si="471"/>
        <v>-48559.627072296338</v>
      </c>
      <c r="AV570">
        <f t="shared" si="459"/>
        <v>-1.7709955434002449</v>
      </c>
      <c r="AW570">
        <f t="shared" si="460"/>
        <v>40409.148075278055</v>
      </c>
      <c r="AX570">
        <f t="shared" si="461"/>
        <v>-12818.446991657105</v>
      </c>
      <c r="AY570">
        <f t="shared" si="469"/>
        <v>-0.30717592821293815</v>
      </c>
      <c r="BA570">
        <f t="shared" si="450"/>
        <v>1.1687932002143</v>
      </c>
      <c r="BB570">
        <f t="shared" si="462"/>
        <v>1.3547535260470882</v>
      </c>
      <c r="BC570">
        <f t="shared" si="463"/>
        <v>-1.4638196151873069</v>
      </c>
      <c r="BD570">
        <f t="shared" si="451"/>
        <v>-263.87068601453319</v>
      </c>
      <c r="BF570">
        <f t="shared" si="452"/>
        <v>-50.118506627077636</v>
      </c>
      <c r="BG570">
        <f t="shared" si="453"/>
        <v>-174.35825592940347</v>
      </c>
      <c r="BH570">
        <f t="shared" si="464"/>
        <v>5.6417440705965305</v>
      </c>
      <c r="BI570">
        <f t="shared" si="465"/>
        <v>5.6417440705965305</v>
      </c>
      <c r="BJ570">
        <f t="shared" si="454"/>
        <v>0</v>
      </c>
      <c r="BK570">
        <f t="shared" si="466"/>
        <v>0</v>
      </c>
      <c r="BM570">
        <f t="shared" si="467"/>
        <v>-51.47326015312472</v>
      </c>
      <c r="BN570">
        <f t="shared" si="455"/>
        <v>-90.487569914870306</v>
      </c>
      <c r="BQ570" s="66">
        <f t="shared" si="468"/>
        <v>18.256714326332226</v>
      </c>
    </row>
    <row r="571" spans="1:69" x14ac:dyDescent="0.2">
      <c r="A571">
        <f t="shared" si="472"/>
        <v>1785000</v>
      </c>
      <c r="B571">
        <f t="shared" si="456"/>
        <v>1785</v>
      </c>
      <c r="C571">
        <f t="shared" si="425"/>
        <v>111.03781209082928</v>
      </c>
      <c r="D571">
        <f t="shared" si="426"/>
        <v>1.5617902639097176</v>
      </c>
      <c r="F571">
        <f t="shared" si="427"/>
        <v>1.5979254607054461E-6</v>
      </c>
      <c r="G571">
        <f t="shared" si="428"/>
        <v>5.2019607822444516E-4</v>
      </c>
      <c r="H571">
        <f t="shared" si="429"/>
        <v>-3.1410724539217756</v>
      </c>
      <c r="J571">
        <f t="shared" si="430"/>
        <v>15</v>
      </c>
      <c r="M571">
        <f t="shared" si="431"/>
        <v>1.8899154946497565E-3</v>
      </c>
      <c r="N571">
        <f t="shared" si="432"/>
        <v>-1.5707963250000001</v>
      </c>
      <c r="O571">
        <f t="shared" si="433"/>
        <v>528.92325378275359</v>
      </c>
      <c r="P571">
        <f t="shared" si="434"/>
        <v>1.5689056922111488</v>
      </c>
      <c r="Q571">
        <f t="shared" si="435"/>
        <v>732.82052188669059</v>
      </c>
      <c r="R571">
        <f t="shared" si="436"/>
        <v>1.5694317357654628</v>
      </c>
      <c r="S571">
        <f t="shared" si="437"/>
        <v>1.500881987672298E-2</v>
      </c>
      <c r="T571">
        <f t="shared" si="438"/>
        <v>-1.5557869433682256</v>
      </c>
      <c r="U571">
        <f t="shared" si="439"/>
        <v>0.98023956725556893</v>
      </c>
      <c r="V571">
        <f t="shared" si="440"/>
        <v>-0.19912738127194848</v>
      </c>
      <c r="X571">
        <f t="shared" si="457"/>
        <v>-30.84739769491766</v>
      </c>
      <c r="Y571">
        <f t="shared" si="441"/>
        <v>-101.22189905862291</v>
      </c>
      <c r="Z571">
        <f t="shared" si="458"/>
        <v>78.77810094137709</v>
      </c>
      <c r="AC571">
        <v>1</v>
      </c>
      <c r="AD571">
        <f t="shared" si="442"/>
        <v>528.92230846517998</v>
      </c>
      <c r="AE571">
        <f t="shared" si="443"/>
        <v>-5.9321206190020154E-3</v>
      </c>
      <c r="AF571">
        <f t="shared" si="444"/>
        <v>2.9395788178270498E-2</v>
      </c>
      <c r="AG571">
        <f t="shared" si="473"/>
        <v>17282.457732320872</v>
      </c>
      <c r="AH571">
        <f t="shared" si="474"/>
        <v>-3521.6481773894093</v>
      </c>
      <c r="AJ571">
        <f t="shared" si="445"/>
        <v>18000</v>
      </c>
      <c r="AK571">
        <f t="shared" si="446"/>
        <v>1199159.73751266</v>
      </c>
      <c r="AL571">
        <v>1</v>
      </c>
      <c r="AM571">
        <f t="shared" si="447"/>
        <v>732.81983959106992</v>
      </c>
      <c r="AN571">
        <f t="shared" si="475"/>
        <v>1636.3941072139933</v>
      </c>
      <c r="AO571">
        <f t="shared" si="476"/>
        <v>-22.32964367056065</v>
      </c>
      <c r="AQ571">
        <f t="shared" si="448"/>
        <v>7.8462751495676579E-4</v>
      </c>
      <c r="AR571">
        <f t="shared" si="449"/>
        <v>-2.801120228395654</v>
      </c>
      <c r="AT571">
        <f t="shared" si="470"/>
        <v>-9850.9996551153054</v>
      </c>
      <c r="AU571">
        <f t="shared" si="471"/>
        <v>-48413.005132454855</v>
      </c>
      <c r="AV571">
        <f t="shared" si="459"/>
        <v>-1.771534230613101</v>
      </c>
      <c r="AW571">
        <f t="shared" si="460"/>
        <v>40400.992176306318</v>
      </c>
      <c r="AX571">
        <f t="shared" si="461"/>
        <v>-12824.667388581451</v>
      </c>
      <c r="AY571">
        <f t="shared" si="469"/>
        <v>-0.3073739885478296</v>
      </c>
      <c r="BA571">
        <f t="shared" si="450"/>
        <v>1.165553683927383</v>
      </c>
      <c r="BB571">
        <f t="shared" si="462"/>
        <v>1.3306456274279177</v>
      </c>
      <c r="BC571">
        <f t="shared" si="463"/>
        <v>-1.4641602420652715</v>
      </c>
      <c r="BD571">
        <f t="shared" si="451"/>
        <v>-263.89020249705158</v>
      </c>
      <c r="BF571">
        <f t="shared" si="452"/>
        <v>-50.166980942289797</v>
      </c>
      <c r="BG571">
        <f t="shared" si="453"/>
        <v>-174.37640674831576</v>
      </c>
      <c r="BH571">
        <f t="shared" si="464"/>
        <v>5.6235932516842411</v>
      </c>
      <c r="BI571">
        <f t="shared" si="465"/>
        <v>5.6235932516842411</v>
      </c>
      <c r="BJ571">
        <f t="shared" si="454"/>
        <v>0</v>
      </c>
      <c r="BK571">
        <f t="shared" si="466"/>
        <v>0</v>
      </c>
      <c r="BM571">
        <f t="shared" si="467"/>
        <v>-51.497626569717724</v>
      </c>
      <c r="BN571">
        <f t="shared" si="455"/>
        <v>-90.486204251264212</v>
      </c>
      <c r="BQ571" s="66">
        <f t="shared" si="468"/>
        <v>18.232606427713055</v>
      </c>
    </row>
    <row r="572" spans="1:69" x14ac:dyDescent="0.2">
      <c r="A572">
        <f t="shared" si="472"/>
        <v>1790000</v>
      </c>
      <c r="B572">
        <f t="shared" si="456"/>
        <v>1790</v>
      </c>
      <c r="C572">
        <f t="shared" si="425"/>
        <v>111.34881718530212</v>
      </c>
      <c r="D572">
        <f t="shared" si="426"/>
        <v>1.5618154191553841</v>
      </c>
      <c r="F572">
        <f t="shared" si="427"/>
        <v>1.5890109575568308E-6</v>
      </c>
      <c r="G572">
        <f t="shared" si="428"/>
        <v>5.1874301215094638E-4</v>
      </c>
      <c r="H572">
        <f t="shared" si="429"/>
        <v>-3.1410739069878493</v>
      </c>
      <c r="J572">
        <f t="shared" si="430"/>
        <v>15</v>
      </c>
      <c r="M572">
        <f t="shared" si="431"/>
        <v>1.8846364010892825E-3</v>
      </c>
      <c r="N572">
        <f t="shared" si="432"/>
        <v>-1.5707963250000001</v>
      </c>
      <c r="O572">
        <f t="shared" si="433"/>
        <v>530.4048262359463</v>
      </c>
      <c r="P572">
        <f t="shared" si="434"/>
        <v>1.5689109733008058</v>
      </c>
      <c r="Q572">
        <f t="shared" si="435"/>
        <v>734.87323661834864</v>
      </c>
      <c r="R572">
        <f t="shared" si="436"/>
        <v>1.569435547467537</v>
      </c>
      <c r="S572">
        <f t="shared" si="437"/>
        <v>1.496690520334459E-2</v>
      </c>
      <c r="T572">
        <f t="shared" si="438"/>
        <v>-1.5558288627501731</v>
      </c>
      <c r="U572">
        <f t="shared" si="439"/>
        <v>0.98013199146876662</v>
      </c>
      <c r="V572">
        <f t="shared" si="440"/>
        <v>-0.19967047334335603</v>
      </c>
      <c r="X572">
        <f t="shared" si="457"/>
        <v>-30.872643896002977</v>
      </c>
      <c r="Y572">
        <f t="shared" si="441"/>
        <v>-101.253538732457</v>
      </c>
      <c r="Z572">
        <f t="shared" si="458"/>
        <v>78.746461267542998</v>
      </c>
      <c r="AC572">
        <v>1</v>
      </c>
      <c r="AD572">
        <f t="shared" si="442"/>
        <v>530.40388355892014</v>
      </c>
      <c r="AE572">
        <f t="shared" si="443"/>
        <v>-5.9654003327901696E-3</v>
      </c>
      <c r="AF572">
        <f t="shared" si="444"/>
        <v>2.9478129321627002E-2</v>
      </c>
      <c r="AG572">
        <f t="shared" si="473"/>
        <v>17278.664635136101</v>
      </c>
      <c r="AH572">
        <f t="shared" si="474"/>
        <v>-3530.5548269053597</v>
      </c>
      <c r="AJ572">
        <f t="shared" si="445"/>
        <v>18000</v>
      </c>
      <c r="AK572">
        <f t="shared" si="446"/>
        <v>1202518.72837404</v>
      </c>
      <c r="AL572">
        <v>1</v>
      </c>
      <c r="AM572">
        <f t="shared" si="447"/>
        <v>734.87255622858004</v>
      </c>
      <c r="AN572">
        <f t="shared" si="475"/>
        <v>1636.3939372238424</v>
      </c>
      <c r="AO572">
        <f t="shared" si="476"/>
        <v>-22.267270595537529</v>
      </c>
      <c r="AQ572">
        <f t="shared" si="448"/>
        <v>7.8025024341856972E-4</v>
      </c>
      <c r="AR572">
        <f t="shared" si="449"/>
        <v>-2.7932958714384797</v>
      </c>
      <c r="AT572">
        <f t="shared" si="470"/>
        <v>-9848.4025395944245</v>
      </c>
      <c r="AU572">
        <f t="shared" si="471"/>
        <v>-48267.177305558835</v>
      </c>
      <c r="AV572">
        <f t="shared" si="459"/>
        <v>-1.7720728240306696</v>
      </c>
      <c r="AW572">
        <f t="shared" si="460"/>
        <v>40392.813277324101</v>
      </c>
      <c r="AX572">
        <f t="shared" si="461"/>
        <v>-12830.952411701619</v>
      </c>
      <c r="AY572">
        <f t="shared" si="469"/>
        <v>-0.30757372154428042</v>
      </c>
      <c r="BA572">
        <f t="shared" si="450"/>
        <v>1.1623319791080597</v>
      </c>
      <c r="BB572">
        <f t="shared" si="462"/>
        <v>1.3066037332598146</v>
      </c>
      <c r="BC572">
        <f t="shared" si="463"/>
        <v>-1.4644991024863891</v>
      </c>
      <c r="BD572">
        <f t="shared" si="451"/>
        <v>-263.90961776904783</v>
      </c>
      <c r="BF572">
        <f t="shared" si="452"/>
        <v>-50.215321083712432</v>
      </c>
      <c r="BG572">
        <f t="shared" si="453"/>
        <v>-174.39446398545456</v>
      </c>
      <c r="BH572">
        <f t="shared" si="464"/>
        <v>5.6055360145454358</v>
      </c>
      <c r="BI572">
        <f t="shared" si="465"/>
        <v>5.6055360145454358</v>
      </c>
      <c r="BJ572">
        <f t="shared" si="454"/>
        <v>0</v>
      </c>
      <c r="BK572">
        <f t="shared" si="466"/>
        <v>0</v>
      </c>
      <c r="BM572">
        <f t="shared" si="467"/>
        <v>-51.521924816972245</v>
      </c>
      <c r="BN572">
        <f t="shared" si="455"/>
        <v>-90.484846216406737</v>
      </c>
      <c r="BQ572" s="66">
        <f t="shared" si="468"/>
        <v>18.208564533544951</v>
      </c>
    </row>
    <row r="573" spans="1:69" x14ac:dyDescent="0.2">
      <c r="A573">
        <f t="shared" si="472"/>
        <v>1795000</v>
      </c>
      <c r="B573">
        <f t="shared" si="456"/>
        <v>1795</v>
      </c>
      <c r="C573">
        <f t="shared" si="425"/>
        <v>111.65982234984247</v>
      </c>
      <c r="D573">
        <f t="shared" si="426"/>
        <v>1.5618404342716776</v>
      </c>
      <c r="F573">
        <f t="shared" si="427"/>
        <v>1.5801708452073962E-6</v>
      </c>
      <c r="G573">
        <f t="shared" si="428"/>
        <v>5.1729804118970195E-4</v>
      </c>
      <c r="H573">
        <f t="shared" si="429"/>
        <v>-3.1410753519588104</v>
      </c>
      <c r="J573">
        <f t="shared" si="430"/>
        <v>15</v>
      </c>
      <c r="M573">
        <f t="shared" si="431"/>
        <v>1.8793867175207883E-3</v>
      </c>
      <c r="N573">
        <f t="shared" si="432"/>
        <v>-1.5707963250000001</v>
      </c>
      <c r="O573">
        <f t="shared" si="433"/>
        <v>531.88639870384964</v>
      </c>
      <c r="P573">
        <f t="shared" si="434"/>
        <v>1.5689162249694548</v>
      </c>
      <c r="Q573">
        <f t="shared" si="435"/>
        <v>736.92595136062437</v>
      </c>
      <c r="R573">
        <f t="shared" si="436"/>
        <v>1.5694393379345413</v>
      </c>
      <c r="S573">
        <f t="shared" si="437"/>
        <v>1.4925223959652411E-2</v>
      </c>
      <c r="T573">
        <f t="shared" si="438"/>
        <v>-1.5558705486501274</v>
      </c>
      <c r="U573">
        <f t="shared" si="439"/>
        <v>0.98002415032910839</v>
      </c>
      <c r="V573">
        <f t="shared" si="440"/>
        <v>-0.20021344606512684</v>
      </c>
      <c r="X573">
        <f t="shared" si="457"/>
        <v>-30.897824809026829</v>
      </c>
      <c r="Y573">
        <f t="shared" si="441"/>
        <v>-101.28516865791316</v>
      </c>
      <c r="Z573">
        <f t="shared" si="458"/>
        <v>78.714831342086839</v>
      </c>
      <c r="AC573">
        <v>1</v>
      </c>
      <c r="AD573">
        <f t="shared" si="442"/>
        <v>531.88545865266008</v>
      </c>
      <c r="AE573">
        <f t="shared" si="443"/>
        <v>-5.9987731366868222E-3</v>
      </c>
      <c r="AF573">
        <f t="shared" si="444"/>
        <v>2.9560470464983502E-2</v>
      </c>
      <c r="AG573">
        <f t="shared" si="473"/>
        <v>17274.862599506938</v>
      </c>
      <c r="AH573">
        <f t="shared" si="474"/>
        <v>-3539.4559036473202</v>
      </c>
      <c r="AJ573">
        <f t="shared" si="445"/>
        <v>18000</v>
      </c>
      <c r="AK573">
        <f t="shared" si="446"/>
        <v>1205877.7192354198</v>
      </c>
      <c r="AL573">
        <v>1</v>
      </c>
      <c r="AM573">
        <f t="shared" si="447"/>
        <v>736.92527286609004</v>
      </c>
      <c r="AN573">
        <f t="shared" si="475"/>
        <v>1636.3937686522393</v>
      </c>
      <c r="AO573">
        <f t="shared" si="476"/>
        <v>-22.205245000901556</v>
      </c>
      <c r="AQ573">
        <f t="shared" si="448"/>
        <v>7.7590949977812869E-4</v>
      </c>
      <c r="AR573">
        <f t="shared" si="449"/>
        <v>-2.785515104203482</v>
      </c>
      <c r="AT573">
        <f t="shared" si="470"/>
        <v>-9845.8041502734759</v>
      </c>
      <c r="AU573">
        <f t="shared" si="471"/>
        <v>-48122.136991426087</v>
      </c>
      <c r="AV573">
        <f t="shared" si="459"/>
        <v>-1.772611323160636</v>
      </c>
      <c r="AW573">
        <f t="shared" si="460"/>
        <v>40384.611439419765</v>
      </c>
      <c r="AX573">
        <f t="shared" si="461"/>
        <v>-12837.30137835813</v>
      </c>
      <c r="AY573">
        <f t="shared" si="469"/>
        <v>-0.30777511212824082</v>
      </c>
      <c r="BA573">
        <f t="shared" si="450"/>
        <v>1.1591279400453818</v>
      </c>
      <c r="BB573">
        <f t="shared" si="462"/>
        <v>1.2826274869882366</v>
      </c>
      <c r="BC573">
        <f t="shared" si="463"/>
        <v>-1.4648362110323951</v>
      </c>
      <c r="BD573">
        <f t="shared" si="451"/>
        <v>-263.92893266599384</v>
      </c>
      <c r="BF573">
        <f t="shared" si="452"/>
        <v>-50.263527788299285</v>
      </c>
      <c r="BG573">
        <f t="shared" si="453"/>
        <v>-174.41242841254896</v>
      </c>
      <c r="BH573">
        <f t="shared" si="464"/>
        <v>5.5875715874510377</v>
      </c>
      <c r="BI573">
        <f t="shared" si="465"/>
        <v>5.5875715874510377</v>
      </c>
      <c r="BJ573">
        <f t="shared" si="454"/>
        <v>0</v>
      </c>
      <c r="BK573">
        <f t="shared" si="466"/>
        <v>0</v>
      </c>
      <c r="BM573">
        <f t="shared" si="467"/>
        <v>-51.546155275287532</v>
      </c>
      <c r="BN573">
        <f t="shared" si="455"/>
        <v>-90.483495746555135</v>
      </c>
      <c r="BQ573" s="66">
        <f t="shared" si="468"/>
        <v>18.184588287273375</v>
      </c>
    </row>
    <row r="574" spans="1:69" x14ac:dyDescent="0.2">
      <c r="A574">
        <f t="shared" si="472"/>
        <v>1800000</v>
      </c>
      <c r="B574">
        <f t="shared" si="456"/>
        <v>1800</v>
      </c>
      <c r="C574">
        <f t="shared" si="425"/>
        <v>111.97082758386647</v>
      </c>
      <c r="D574">
        <f t="shared" si="426"/>
        <v>1.5618653104262186</v>
      </c>
      <c r="F574">
        <f t="shared" si="427"/>
        <v>1.5714042982397798E-6</v>
      </c>
      <c r="G574">
        <f t="shared" si="428"/>
        <v>5.1586109788103775E-4</v>
      </c>
      <c r="H574">
        <f t="shared" si="429"/>
        <v>-3.1410767889021192</v>
      </c>
      <c r="J574">
        <f t="shared" si="430"/>
        <v>15</v>
      </c>
      <c r="M574">
        <f t="shared" si="431"/>
        <v>1.8741661988610084E-3</v>
      </c>
      <c r="N574">
        <f t="shared" si="432"/>
        <v>-1.5707963250000001</v>
      </c>
      <c r="O574">
        <f t="shared" si="433"/>
        <v>533.36797118634092</v>
      </c>
      <c r="P574">
        <f t="shared" si="434"/>
        <v>1.5689214474622699</v>
      </c>
      <c r="Q574">
        <f t="shared" si="435"/>
        <v>738.97866611342909</v>
      </c>
      <c r="R574">
        <f t="shared" si="436"/>
        <v>1.5694431073434341</v>
      </c>
      <c r="S574">
        <f t="shared" si="437"/>
        <v>1.4883774201264563E-2</v>
      </c>
      <c r="T574">
        <f t="shared" si="438"/>
        <v>-1.555912003013195</v>
      </c>
      <c r="U574">
        <f t="shared" si="439"/>
        <v>0.97991604411490307</v>
      </c>
      <c r="V574">
        <f t="shared" si="440"/>
        <v>-0.2007562991565468</v>
      </c>
      <c r="X574">
        <f t="shared" si="457"/>
        <v>-30.922940809052516</v>
      </c>
      <c r="Y574">
        <f t="shared" si="441"/>
        <v>-101.31678884313307</v>
      </c>
      <c r="Z574">
        <f t="shared" si="458"/>
        <v>78.683211156866932</v>
      </c>
      <c r="AC574">
        <v>1</v>
      </c>
      <c r="AD574">
        <f t="shared" si="442"/>
        <v>533.36703374640012</v>
      </c>
      <c r="AE574">
        <f t="shared" si="443"/>
        <v>-6.0322390306919724E-3</v>
      </c>
      <c r="AF574">
        <f t="shared" si="444"/>
        <v>2.9642811608340005E-2</v>
      </c>
      <c r="AG574">
        <f t="shared" si="473"/>
        <v>17271.051638331959</v>
      </c>
      <c r="AH574">
        <f t="shared" si="474"/>
        <v>-3548.3513906706921</v>
      </c>
      <c r="AJ574">
        <f t="shared" si="445"/>
        <v>18000</v>
      </c>
      <c r="AK574">
        <f t="shared" si="446"/>
        <v>1209236.7100968</v>
      </c>
      <c r="AL574">
        <v>1</v>
      </c>
      <c r="AM574">
        <f t="shared" si="447"/>
        <v>738.97798950360004</v>
      </c>
      <c r="AN574">
        <f t="shared" si="475"/>
        <v>1636.3936014834442</v>
      </c>
      <c r="AO574">
        <f t="shared" si="476"/>
        <v>-22.143563991004143</v>
      </c>
      <c r="AQ574">
        <f t="shared" si="448"/>
        <v>7.7160487873419148E-4</v>
      </c>
      <c r="AR574">
        <f t="shared" si="449"/>
        <v>-2.7777775634430895</v>
      </c>
      <c r="AT574">
        <f t="shared" si="470"/>
        <v>-9843.2044525121255</v>
      </c>
      <c r="AU574">
        <f t="shared" si="471"/>
        <v>-47977.877663270032</v>
      </c>
      <c r="AV574">
        <f t="shared" si="459"/>
        <v>-1.7731497275134367</v>
      </c>
      <c r="AW574">
        <f t="shared" si="460"/>
        <v>40376.38672328418</v>
      </c>
      <c r="AX574">
        <f t="shared" si="461"/>
        <v>-12843.713613238966</v>
      </c>
      <c r="AY574">
        <f t="shared" si="469"/>
        <v>-0.30797814538797763</v>
      </c>
      <c r="BA574">
        <f t="shared" si="450"/>
        <v>1.1559414226047593</v>
      </c>
      <c r="BB574">
        <f t="shared" si="462"/>
        <v>1.2587165349066574</v>
      </c>
      <c r="BC574">
        <f t="shared" si="463"/>
        <v>-1.4651715821254592</v>
      </c>
      <c r="BD574">
        <f t="shared" si="451"/>
        <v>-263.94814801421904</v>
      </c>
      <c r="BF574">
        <f t="shared" si="452"/>
        <v>-50.311601786980653</v>
      </c>
      <c r="BG574">
        <f t="shared" si="453"/>
        <v>-174.43030079289392</v>
      </c>
      <c r="BH574">
        <f t="shared" si="464"/>
        <v>5.5696992071060833</v>
      </c>
      <c r="BI574">
        <f t="shared" si="465"/>
        <v>5.5696992071060833</v>
      </c>
      <c r="BJ574">
        <f t="shared" si="454"/>
        <v>0</v>
      </c>
      <c r="BK574">
        <f t="shared" si="466"/>
        <v>0</v>
      </c>
      <c r="BM574">
        <f t="shared" si="467"/>
        <v>-51.570318321887299</v>
      </c>
      <c r="BN574">
        <f t="shared" si="455"/>
        <v>-90.482152778674873</v>
      </c>
      <c r="BQ574" s="66">
        <f t="shared" si="468"/>
        <v>18.160677335191796</v>
      </c>
    </row>
    <row r="575" spans="1:69" x14ac:dyDescent="0.2">
      <c r="A575">
        <f t="shared" si="472"/>
        <v>1805000</v>
      </c>
      <c r="B575">
        <f t="shared" si="456"/>
        <v>1805</v>
      </c>
      <c r="C575">
        <f t="shared" si="425"/>
        <v>112.28183288679676</v>
      </c>
      <c r="D575">
        <f t="shared" si="426"/>
        <v>1.5618900487736909</v>
      </c>
      <c r="F575">
        <f t="shared" si="427"/>
        <v>1.5627105026531688E-6</v>
      </c>
      <c r="G575">
        <f t="shared" si="428"/>
        <v>5.1443211551276081E-4</v>
      </c>
      <c r="H575">
        <f t="shared" si="429"/>
        <v>-3.1410782178844876</v>
      </c>
      <c r="J575">
        <f t="shared" si="430"/>
        <v>15</v>
      </c>
      <c r="M575">
        <f t="shared" si="431"/>
        <v>1.8689746027422799E-3</v>
      </c>
      <c r="N575">
        <f t="shared" si="432"/>
        <v>-1.5707963250000001</v>
      </c>
      <c r="O575">
        <f t="shared" si="433"/>
        <v>534.84954368329898</v>
      </c>
      <c r="P575">
        <f t="shared" si="434"/>
        <v>1.568926641021708</v>
      </c>
      <c r="Q575">
        <f t="shared" si="435"/>
        <v>741.03138087667526</v>
      </c>
      <c r="R575">
        <f t="shared" si="436"/>
        <v>1.5694468558692134</v>
      </c>
      <c r="S575">
        <f t="shared" si="437"/>
        <v>1.4842554005331639E-2</v>
      </c>
      <c r="T575">
        <f t="shared" si="438"/>
        <v>-1.5559532277629373</v>
      </c>
      <c r="U575">
        <f t="shared" si="439"/>
        <v>0.97980767310497663</v>
      </c>
      <c r="V575">
        <f t="shared" si="440"/>
        <v>-0.20129903233730759</v>
      </c>
      <c r="X575">
        <f t="shared" si="457"/>
        <v>-30.947992268006502</v>
      </c>
      <c r="Y575">
        <f t="shared" si="441"/>
        <v>-101.34839929601362</v>
      </c>
      <c r="Z575">
        <f t="shared" si="458"/>
        <v>78.651600703986375</v>
      </c>
      <c r="AC575">
        <v>1</v>
      </c>
      <c r="AD575">
        <f t="shared" si="442"/>
        <v>534.84860884014006</v>
      </c>
      <c r="AE575">
        <f t="shared" si="443"/>
        <v>-6.0657980148056219E-3</v>
      </c>
      <c r="AF575">
        <f t="shared" si="444"/>
        <v>2.9725152751696501E-2</v>
      </c>
      <c r="AG575">
        <f t="shared" si="473"/>
        <v>17267.231764531218</v>
      </c>
      <c r="AH575">
        <f t="shared" si="474"/>
        <v>-3557.2412711133056</v>
      </c>
      <c r="AJ575">
        <f t="shared" si="445"/>
        <v>18000</v>
      </c>
      <c r="AK575">
        <f t="shared" si="446"/>
        <v>1212595.70095818</v>
      </c>
      <c r="AL575">
        <v>1</v>
      </c>
      <c r="AM575">
        <f t="shared" si="447"/>
        <v>741.03070614110993</v>
      </c>
      <c r="AN575">
        <f t="shared" si="475"/>
        <v>1636.3934357019355</v>
      </c>
      <c r="AO575">
        <f t="shared" si="476"/>
        <v>-22.082224702281149</v>
      </c>
      <c r="AQ575">
        <f t="shared" si="448"/>
        <v>7.6733598059131069E-4</v>
      </c>
      <c r="AR575">
        <f t="shared" si="449"/>
        <v>-2.7700828899346313</v>
      </c>
      <c r="AT575">
        <f t="shared" si="470"/>
        <v>-9840.6034122621513</v>
      </c>
      <c r="AU575">
        <f t="shared" si="471"/>
        <v>-47834.392866682669</v>
      </c>
      <c r="AV575">
        <f t="shared" si="459"/>
        <v>-1.7736880366022285</v>
      </c>
      <c r="AW575">
        <f t="shared" si="460"/>
        <v>40368.139189217844</v>
      </c>
      <c r="AX575">
        <f t="shared" si="461"/>
        <v>-12850.188448278899</v>
      </c>
      <c r="AY575">
        <f t="shared" si="469"/>
        <v>-0.30818280657187247</v>
      </c>
      <c r="BA575">
        <f t="shared" si="450"/>
        <v>1.1527722842068191</v>
      </c>
      <c r="BB575">
        <f t="shared" si="462"/>
        <v>1.2348705261266759</v>
      </c>
      <c r="BC575">
        <f t="shared" si="463"/>
        <v>-1.4655052300303559</v>
      </c>
      <c r="BD575">
        <f t="shared" si="451"/>
        <v>-263.96726463103482</v>
      </c>
      <c r="BF575">
        <f t="shared" si="452"/>
        <v>-50.359543804728432</v>
      </c>
      <c r="BG575">
        <f t="shared" si="453"/>
        <v>-174.44808188146462</v>
      </c>
      <c r="BH575">
        <f t="shared" si="464"/>
        <v>5.551918118535383</v>
      </c>
      <c r="BI575">
        <f t="shared" si="465"/>
        <v>5.551918118535383</v>
      </c>
      <c r="BJ575">
        <f t="shared" si="454"/>
        <v>0</v>
      </c>
      <c r="BK575">
        <f t="shared" si="466"/>
        <v>0</v>
      </c>
      <c r="BM575">
        <f t="shared" si="467"/>
        <v>-51.594414330855109</v>
      </c>
      <c r="BN575">
        <f t="shared" si="455"/>
        <v>-90.480817250429766</v>
      </c>
      <c r="BQ575" s="66">
        <f t="shared" si="468"/>
        <v>18.136831326411812</v>
      </c>
    </row>
    <row r="576" spans="1:69" x14ac:dyDescent="0.2">
      <c r="A576">
        <f t="shared" si="472"/>
        <v>1810000</v>
      </c>
      <c r="B576">
        <f t="shared" si="456"/>
        <v>1810</v>
      </c>
      <c r="C576">
        <f t="shared" si="425"/>
        <v>112.59283825806234</v>
      </c>
      <c r="D576">
        <f t="shared" si="426"/>
        <v>1.5619146504560215</v>
      </c>
      <c r="F576">
        <f t="shared" si="427"/>
        <v>1.5540886556743372E-6</v>
      </c>
      <c r="G576">
        <f t="shared" si="428"/>
        <v>5.1301102810983495E-4</v>
      </c>
      <c r="H576">
        <f t="shared" si="429"/>
        <v>-3.1410796389718905</v>
      </c>
      <c r="J576">
        <f t="shared" si="430"/>
        <v>15</v>
      </c>
      <c r="M576">
        <f t="shared" si="431"/>
        <v>1.8638116894750358E-3</v>
      </c>
      <c r="N576">
        <f t="shared" si="432"/>
        <v>-1.5707963250000001</v>
      </c>
      <c r="O576">
        <f t="shared" si="433"/>
        <v>536.33111619460385</v>
      </c>
      <c r="P576">
        <f t="shared" si="434"/>
        <v>1.5689318058875477</v>
      </c>
      <c r="Q576">
        <f t="shared" si="435"/>
        <v>743.08409565027659</v>
      </c>
      <c r="R576">
        <f t="shared" si="436"/>
        <v>1.5694505836849431</v>
      </c>
      <c r="S576">
        <f t="shared" si="437"/>
        <v>1.4801561470239474E-2</v>
      </c>
      <c r="T576">
        <f t="shared" si="438"/>
        <v>-1.5559942248016689</v>
      </c>
      <c r="U576">
        <f t="shared" si="439"/>
        <v>0.97969903757867027</v>
      </c>
      <c r="V576">
        <f t="shared" si="440"/>
        <v>-0.2018416453275072</v>
      </c>
      <c r="X576">
        <f t="shared" si="457"/>
        <v>-30.972979554713106</v>
      </c>
      <c r="Y576">
        <f t="shared" si="441"/>
        <v>-101.38000002421057</v>
      </c>
      <c r="Z576">
        <f t="shared" si="458"/>
        <v>78.619999975789426</v>
      </c>
      <c r="AC576">
        <v>1</v>
      </c>
      <c r="AD576">
        <f t="shared" si="442"/>
        <v>536.33018393387999</v>
      </c>
      <c r="AE576">
        <f t="shared" si="443"/>
        <v>-6.0994500890277688E-3</v>
      </c>
      <c r="AF576">
        <f t="shared" si="444"/>
        <v>2.9807493895053001E-2</v>
      </c>
      <c r="AG576">
        <f t="shared" si="473"/>
        <v>17263.402991046161</v>
      </c>
      <c r="AH576">
        <f t="shared" si="474"/>
        <v>-3566.1255281947856</v>
      </c>
      <c r="AJ576">
        <f t="shared" si="445"/>
        <v>18000</v>
      </c>
      <c r="AK576">
        <f t="shared" si="446"/>
        <v>1215954.69181956</v>
      </c>
      <c r="AL576">
        <v>1</v>
      </c>
      <c r="AM576">
        <f t="shared" si="447"/>
        <v>743.08342277861993</v>
      </c>
      <c r="AN576">
        <f t="shared" si="475"/>
        <v>1636.3932712924047</v>
      </c>
      <c r="AO576">
        <f t="shared" si="476"/>
        <v>-22.021224302809745</v>
      </c>
      <c r="AQ576">
        <f t="shared" si="448"/>
        <v>7.6310241116705753E-4</v>
      </c>
      <c r="AR576">
        <f t="shared" si="449"/>
        <v>-2.7624307284247482</v>
      </c>
      <c r="AT576">
        <f t="shared" si="470"/>
        <v>-9838.0009960577954</v>
      </c>
      <c r="AU576">
        <f t="shared" si="471"/>
        <v>-47691.676218634711</v>
      </c>
      <c r="AV576">
        <f t="shared" si="459"/>
        <v>-1.7742262499428567</v>
      </c>
      <c r="AW576">
        <f t="shared" si="460"/>
        <v>40359.868897137909</v>
      </c>
      <c r="AX576">
        <f t="shared" si="461"/>
        <v>-12856.725222560513</v>
      </c>
      <c r="AY576">
        <f t="shared" si="469"/>
        <v>-0.30838908108625518</v>
      </c>
      <c r="BA576">
        <f t="shared" si="450"/>
        <v>1.149620383806605</v>
      </c>
      <c r="BB576">
        <f t="shared" si="462"/>
        <v>1.211089112548545</v>
      </c>
      <c r="BC576">
        <f t="shared" si="463"/>
        <v>-1.4658371688566016</v>
      </c>
      <c r="BD576">
        <f t="shared" si="451"/>
        <v>-263.98628332485697</v>
      </c>
      <c r="BF576">
        <f t="shared" si="452"/>
        <v>-50.407354560620462</v>
      </c>
      <c r="BG576">
        <f t="shared" si="453"/>
        <v>-174.46577242502929</v>
      </c>
      <c r="BH576">
        <f t="shared" si="464"/>
        <v>5.5342275749707142</v>
      </c>
      <c r="BI576">
        <f t="shared" si="465"/>
        <v>5.5342275749707142</v>
      </c>
      <c r="BJ576">
        <f t="shared" si="454"/>
        <v>0</v>
      </c>
      <c r="BK576">
        <f t="shared" si="466"/>
        <v>0</v>
      </c>
      <c r="BM576">
        <f t="shared" si="467"/>
        <v>-51.618443673169011</v>
      </c>
      <c r="BN576">
        <f t="shared" si="455"/>
        <v>-90.479489100172287</v>
      </c>
      <c r="BQ576" s="66">
        <f t="shared" si="468"/>
        <v>18.113049912833684</v>
      </c>
    </row>
    <row r="577" spans="1:69" x14ac:dyDescent="0.2">
      <c r="A577">
        <f t="shared" si="472"/>
        <v>1815000</v>
      </c>
      <c r="B577">
        <f t="shared" si="456"/>
        <v>1815</v>
      </c>
      <c r="C577">
        <f t="shared" si="425"/>
        <v>112.90384369709848</v>
      </c>
      <c r="D577">
        <f t="shared" si="426"/>
        <v>1.5619391166025558</v>
      </c>
      <c r="F577">
        <f t="shared" si="427"/>
        <v>1.5455379655723214E-6</v>
      </c>
      <c r="G577">
        <f t="shared" si="428"/>
        <v>5.1159777042422705E-4</v>
      </c>
      <c r="H577">
        <f t="shared" si="429"/>
        <v>-3.141081052229576</v>
      </c>
      <c r="J577">
        <f t="shared" si="430"/>
        <v>15</v>
      </c>
      <c r="M577">
        <f t="shared" si="431"/>
        <v>1.8586772220109174E-3</v>
      </c>
      <c r="N577">
        <f t="shared" si="432"/>
        <v>-1.5707963250000001</v>
      </c>
      <c r="O577">
        <f t="shared" si="433"/>
        <v>537.81268872013686</v>
      </c>
      <c r="P577">
        <f t="shared" si="434"/>
        <v>1.568936942296925</v>
      </c>
      <c r="Q577">
        <f t="shared" si="435"/>
        <v>745.13681043414726</v>
      </c>
      <c r="R577">
        <f t="shared" si="436"/>
        <v>1.5694542909617801</v>
      </c>
      <c r="S577">
        <f t="shared" si="437"/>
        <v>1.4760794715316859E-2</v>
      </c>
      <c r="T577">
        <f t="shared" si="438"/>
        <v>-1.5560349960107505</v>
      </c>
      <c r="U577">
        <f t="shared" si="439"/>
        <v>0.97959013781583948</v>
      </c>
      <c r="V577">
        <f t="shared" si="440"/>
        <v>-0.2023841378476508</v>
      </c>
      <c r="X577">
        <f t="shared" si="457"/>
        <v>-30.997903034928655</v>
      </c>
      <c r="Y577">
        <f t="shared" si="441"/>
        <v>-101.41159103514228</v>
      </c>
      <c r="Z577">
        <f t="shared" si="458"/>
        <v>78.58840896485772</v>
      </c>
      <c r="AC577">
        <v>1</v>
      </c>
      <c r="AD577">
        <f t="shared" si="442"/>
        <v>537.81175902762004</v>
      </c>
      <c r="AE577">
        <f t="shared" si="443"/>
        <v>-6.1331952533584151E-3</v>
      </c>
      <c r="AF577">
        <f t="shared" si="444"/>
        <v>2.9889835038409501E-2</v>
      </c>
      <c r="AG577">
        <f t="shared" si="473"/>
        <v>17259.565330839519</v>
      </c>
      <c r="AH577">
        <f t="shared" si="474"/>
        <v>-3575.0041452159339</v>
      </c>
      <c r="AJ577">
        <f t="shared" si="445"/>
        <v>18000</v>
      </c>
      <c r="AK577">
        <f t="shared" si="446"/>
        <v>1219313.68268094</v>
      </c>
      <c r="AL577">
        <v>1</v>
      </c>
      <c r="AM577">
        <f t="shared" si="447"/>
        <v>745.13613941612994</v>
      </c>
      <c r="AN577">
        <f t="shared" si="475"/>
        <v>1636.3931082397544</v>
      </c>
      <c r="AO577">
        <f t="shared" si="476"/>
        <v>-21.960559991872572</v>
      </c>
      <c r="AQ577">
        <f t="shared" si="448"/>
        <v>7.5890378170102358E-4</v>
      </c>
      <c r="AR577">
        <f t="shared" si="449"/>
        <v>-2.7548207275747156</v>
      </c>
      <c r="AT577">
        <f t="shared" si="470"/>
        <v>-9835.3971710062924</v>
      </c>
      <c r="AU577">
        <f t="shared" si="471"/>
        <v>-47549.721406492063</v>
      </c>
      <c r="AV577">
        <f t="shared" si="459"/>
        <v>-1.774764367053824</v>
      </c>
      <c r="AW577">
        <f t="shared" si="460"/>
        <v>40351.575906585145</v>
      </c>
      <c r="AX577">
        <f t="shared" si="461"/>
        <v>-12863.323282216897</v>
      </c>
      <c r="AY577">
        <f t="shared" si="469"/>
        <v>-0.30859695449327346</v>
      </c>
      <c r="BA577">
        <f t="shared" si="450"/>
        <v>1.1464855818731023</v>
      </c>
      <c r="BB577">
        <f t="shared" si="462"/>
        <v>1.1873719488320305</v>
      </c>
      <c r="BC577">
        <f t="shared" si="463"/>
        <v>-1.4661674125605506</v>
      </c>
      <c r="BD577">
        <f t="shared" si="451"/>
        <v>-264.00520489532562</v>
      </c>
      <c r="BF577">
        <f t="shared" si="452"/>
        <v>-50.455034767903875</v>
      </c>
      <c r="BG577">
        <f t="shared" si="453"/>
        <v>-174.48337316225982</v>
      </c>
      <c r="BH577">
        <f t="shared" si="464"/>
        <v>5.5166268377401764</v>
      </c>
      <c r="BI577">
        <f t="shared" si="465"/>
        <v>5.5166268377401764</v>
      </c>
      <c r="BJ577">
        <f t="shared" si="454"/>
        <v>0</v>
      </c>
      <c r="BK577">
        <f t="shared" si="466"/>
        <v>0</v>
      </c>
      <c r="BM577">
        <f t="shared" si="467"/>
        <v>-51.642406716735906</v>
      </c>
      <c r="BN577">
        <f t="shared" si="455"/>
        <v>-90.478168266934162</v>
      </c>
      <c r="BQ577" s="66">
        <f t="shared" si="468"/>
        <v>18.089332749117165</v>
      </c>
    </row>
    <row r="578" spans="1:69" x14ac:dyDescent="0.2">
      <c r="A578">
        <f t="shared" si="472"/>
        <v>1820000</v>
      </c>
      <c r="B578">
        <f t="shared" si="456"/>
        <v>1820</v>
      </c>
      <c r="C578">
        <f t="shared" si="425"/>
        <v>113.2148492033467</v>
      </c>
      <c r="D578">
        <f t="shared" si="426"/>
        <v>1.5619634483302303</v>
      </c>
      <c r="F578">
        <f t="shared" si="427"/>
        <v>1.5370576514766545E-6</v>
      </c>
      <c r="G578">
        <f t="shared" si="428"/>
        <v>5.1019227792492062E-4</v>
      </c>
      <c r="H578">
        <f t="shared" si="429"/>
        <v>-3.1410824577220753</v>
      </c>
      <c r="J578">
        <f t="shared" si="430"/>
        <v>15</v>
      </c>
      <c r="M578">
        <f t="shared" si="431"/>
        <v>1.8535709659064921E-3</v>
      </c>
      <c r="N578">
        <f t="shared" si="432"/>
        <v>-1.5707963250000001</v>
      </c>
      <c r="O578">
        <f t="shared" si="433"/>
        <v>539.29426125978102</v>
      </c>
      <c r="P578">
        <f t="shared" si="434"/>
        <v>1.5689420504843699</v>
      </c>
      <c r="Q578">
        <f t="shared" si="435"/>
        <v>747.18952522820291</v>
      </c>
      <c r="R578">
        <f t="shared" si="436"/>
        <v>1.569457977869001</v>
      </c>
      <c r="S578">
        <f t="shared" si="437"/>
        <v>1.4720251880548041E-2</v>
      </c>
      <c r="T578">
        <f t="shared" si="438"/>
        <v>-1.5560755432508748</v>
      </c>
      <c r="U578">
        <f t="shared" si="439"/>
        <v>0.97948097409685064</v>
      </c>
      <c r="V578">
        <f t="shared" si="440"/>
        <v>-0.20292650961865116</v>
      </c>
      <c r="X578">
        <f t="shared" si="457"/>
        <v>-31.022763071375202</v>
      </c>
      <c r="Y578">
        <f t="shared" si="441"/>
        <v>-101.44317233599332</v>
      </c>
      <c r="Z578">
        <f t="shared" si="458"/>
        <v>78.556827664006676</v>
      </c>
      <c r="AC578">
        <v>1</v>
      </c>
      <c r="AD578">
        <f t="shared" si="442"/>
        <v>539.29333412136009</v>
      </c>
      <c r="AE578">
        <f t="shared" si="443"/>
        <v>-6.1670335077975589E-3</v>
      </c>
      <c r="AF578">
        <f t="shared" si="444"/>
        <v>2.9972176181765998E-2</v>
      </c>
      <c r="AG578">
        <f t="shared" si="473"/>
        <v>17255.71879689522</v>
      </c>
      <c r="AH578">
        <f t="shared" si="474"/>
        <v>-3583.8771055581014</v>
      </c>
      <c r="AJ578">
        <f t="shared" si="445"/>
        <v>18000</v>
      </c>
      <c r="AK578">
        <f t="shared" si="446"/>
        <v>1222672.6735423198</v>
      </c>
      <c r="AL578">
        <v>1</v>
      </c>
      <c r="AM578">
        <f t="shared" si="447"/>
        <v>747.18885605363994</v>
      </c>
      <c r="AN578">
        <f t="shared" si="475"/>
        <v>1636.3929465290946</v>
      </c>
      <c r="AO578">
        <f t="shared" si="476"/>
        <v>-21.900228999529109</v>
      </c>
      <c r="AQ578">
        <f t="shared" si="448"/>
        <v>7.547397087655696E-4</v>
      </c>
      <c r="AR578">
        <f t="shared" si="449"/>
        <v>-2.7472525399066736</v>
      </c>
      <c r="AT578">
        <f t="shared" si="470"/>
        <v>-9832.7919047785617</v>
      </c>
      <c r="AU578">
        <f t="shared" si="471"/>
        <v>-47408.52218704862</v>
      </c>
      <c r="AV578">
        <f t="shared" si="459"/>
        <v>-1.7753023874562606</v>
      </c>
      <c r="AW578">
        <f t="shared" si="460"/>
        <v>40343.260276730631</v>
      </c>
      <c r="AX578">
        <f t="shared" si="461"/>
        <v>-12869.981980335881</v>
      </c>
      <c r="AY578">
        <f t="shared" si="469"/>
        <v>-0.30880641250879576</v>
      </c>
      <c r="BA578">
        <f t="shared" si="450"/>
        <v>1.1433677403690945</v>
      </c>
      <c r="BB578">
        <f t="shared" si="462"/>
        <v>1.1637186923676945</v>
      </c>
      <c r="BC578">
        <f t="shared" si="463"/>
        <v>-1.4664959749474649</v>
      </c>
      <c r="BD578">
        <f t="shared" si="451"/>
        <v>-264.02403013342411</v>
      </c>
      <c r="BF578">
        <f t="shared" si="452"/>
        <v>-50.502585134057639</v>
      </c>
      <c r="BG578">
        <f t="shared" si="453"/>
        <v>-174.50088482384109</v>
      </c>
      <c r="BH578">
        <f t="shared" si="464"/>
        <v>5.4991151761589094</v>
      </c>
      <c r="BI578">
        <f t="shared" si="465"/>
        <v>5.4991151761589094</v>
      </c>
      <c r="BJ578">
        <f t="shared" si="454"/>
        <v>0</v>
      </c>
      <c r="BK578">
        <f t="shared" si="466"/>
        <v>0</v>
      </c>
      <c r="BM578">
        <f t="shared" si="467"/>
        <v>-51.66630382642532</v>
      </c>
      <c r="BN578">
        <f t="shared" si="455"/>
        <v>-90.476854690416999</v>
      </c>
      <c r="BQ578" s="66">
        <f t="shared" si="468"/>
        <v>18.065679492652833</v>
      </c>
    </row>
    <row r="579" spans="1:69" x14ac:dyDescent="0.2">
      <c r="A579">
        <f t="shared" si="472"/>
        <v>1825000</v>
      </c>
      <c r="B579">
        <f t="shared" si="456"/>
        <v>1825</v>
      </c>
      <c r="C579">
        <f t="shared" si="425"/>
        <v>113.5258547762546</v>
      </c>
      <c r="D579">
        <f t="shared" si="426"/>
        <v>1.5619876467437428</v>
      </c>
      <c r="F579">
        <f t="shared" si="427"/>
        <v>1.5286469431990822E-6</v>
      </c>
      <c r="G579">
        <f t="shared" si="428"/>
        <v>5.0879448678809347E-4</v>
      </c>
      <c r="H579">
        <f t="shared" si="429"/>
        <v>-3.1410838555132119</v>
      </c>
      <c r="J579">
        <f t="shared" si="430"/>
        <v>15</v>
      </c>
      <c r="M579">
        <f t="shared" si="431"/>
        <v>1.8484926892875701E-3</v>
      </c>
      <c r="N579">
        <f t="shared" si="432"/>
        <v>-1.5707963250000001</v>
      </c>
      <c r="O579">
        <f t="shared" si="433"/>
        <v>540.77583381342004</v>
      </c>
      <c r="P579">
        <f t="shared" si="434"/>
        <v>1.5689471306818428</v>
      </c>
      <c r="Q579">
        <f t="shared" si="435"/>
        <v>749.24224003235952</v>
      </c>
      <c r="R579">
        <f t="shared" si="436"/>
        <v>1.5694616445740264</v>
      </c>
      <c r="S579">
        <f t="shared" si="437"/>
        <v>1.4679931126289953E-2</v>
      </c>
      <c r="T579">
        <f t="shared" si="438"/>
        <v>-1.5561158683623519</v>
      </c>
      <c r="U579">
        <f t="shared" si="439"/>
        <v>0.97937154670258031</v>
      </c>
      <c r="V579">
        <f t="shared" si="440"/>
        <v>-0.20346876036182951</v>
      </c>
      <c r="X579">
        <f t="shared" si="457"/>
        <v>-31.047560023773791</v>
      </c>
      <c r="Y579">
        <f t="shared" si="441"/>
        <v>-101.47474393371802</v>
      </c>
      <c r="Z579">
        <f t="shared" si="458"/>
        <v>78.525256066281983</v>
      </c>
      <c r="AC579">
        <v>1</v>
      </c>
      <c r="AD579">
        <f t="shared" si="442"/>
        <v>540.77490921510014</v>
      </c>
      <c r="AE579">
        <f t="shared" si="443"/>
        <v>-6.200964852345202E-3</v>
      </c>
      <c r="AF579">
        <f t="shared" si="444"/>
        <v>3.0054517325122501E-2</v>
      </c>
      <c r="AG579">
        <f t="shared" si="473"/>
        <v>17251.863402218241</v>
      </c>
      <c r="AH579">
        <f t="shared" si="474"/>
        <v>-3592.7443926825977</v>
      </c>
      <c r="AJ579">
        <f t="shared" si="445"/>
        <v>18000</v>
      </c>
      <c r="AK579">
        <f t="shared" si="446"/>
        <v>1226031.6644036998</v>
      </c>
      <c r="AL579">
        <v>1</v>
      </c>
      <c r="AM579">
        <f t="shared" si="447"/>
        <v>749.24157269115005</v>
      </c>
      <c r="AN579">
        <f t="shared" si="475"/>
        <v>1636.3927861457389</v>
      </c>
      <c r="AO579">
        <f t="shared" si="476"/>
        <v>-21.840228586194076</v>
      </c>
      <c r="AQ579">
        <f t="shared" si="448"/>
        <v>7.5060981417828378E-4</v>
      </c>
      <c r="AR579">
        <f t="shared" si="449"/>
        <v>-2.7397258217507359</v>
      </c>
      <c r="AT579">
        <f t="shared" si="470"/>
        <v>-9830.185165600109</v>
      </c>
      <c r="AU579">
        <f t="shared" si="471"/>
        <v>-47268.072385574793</v>
      </c>
      <c r="AV579">
        <f t="shared" si="459"/>
        <v>-1.7758403106738951</v>
      </c>
      <c r="AW579">
        <f t="shared" si="460"/>
        <v>40334.922066382343</v>
      </c>
      <c r="AX579">
        <f t="shared" si="461"/>
        <v>-12876.700676865879</v>
      </c>
      <c r="AY579">
        <f t="shared" si="469"/>
        <v>-0.30901744100034895</v>
      </c>
      <c r="BA579">
        <f t="shared" si="450"/>
        <v>1.1402667227313354</v>
      </c>
      <c r="BB579">
        <f t="shared" si="462"/>
        <v>1.1401290032485265</v>
      </c>
      <c r="BC579">
        <f t="shared" si="463"/>
        <v>-1.4668228696735461</v>
      </c>
      <c r="BD579">
        <f t="shared" si="451"/>
        <v>-264.04275982159504</v>
      </c>
      <c r="BF579">
        <f t="shared" si="452"/>
        <v>-50.550006360854255</v>
      </c>
      <c r="BG579">
        <f t="shared" si="453"/>
        <v>-174.51830813257814</v>
      </c>
      <c r="BH579">
        <f t="shared" si="464"/>
        <v>5.4816918674218584</v>
      </c>
      <c r="BI579">
        <f t="shared" si="465"/>
        <v>5.4816918674218584</v>
      </c>
      <c r="BJ579">
        <f t="shared" si="454"/>
        <v>0</v>
      </c>
      <c r="BK579">
        <f t="shared" si="466"/>
        <v>0</v>
      </c>
      <c r="BM579">
        <f t="shared" si="467"/>
        <v>-51.690135364102787</v>
      </c>
      <c r="BN579">
        <f t="shared" si="455"/>
        <v>-90.475548310983086</v>
      </c>
      <c r="BQ579" s="66">
        <f t="shared" si="468"/>
        <v>18.042089803533663</v>
      </c>
    </row>
    <row r="580" spans="1:69" x14ac:dyDescent="0.2">
      <c r="A580">
        <f t="shared" si="472"/>
        <v>1830000</v>
      </c>
      <c r="B580">
        <f t="shared" si="456"/>
        <v>1830</v>
      </c>
      <c r="C580">
        <f t="shared" si="425"/>
        <v>113.83686041527582</v>
      </c>
      <c r="D580">
        <f t="shared" si="426"/>
        <v>1.5620117129357196</v>
      </c>
      <c r="F580">
        <f t="shared" si="427"/>
        <v>1.5203050810586835E-6</v>
      </c>
      <c r="G580">
        <f t="shared" si="428"/>
        <v>5.0740433388745678E-4</v>
      </c>
      <c r="H580">
        <f t="shared" si="429"/>
        <v>-3.1410852456661127</v>
      </c>
      <c r="J580">
        <f t="shared" si="430"/>
        <v>15</v>
      </c>
      <c r="M580">
        <f t="shared" si="431"/>
        <v>1.8434421628141066E-3</v>
      </c>
      <c r="N580">
        <f t="shared" si="432"/>
        <v>-1.5707963250000001</v>
      </c>
      <c r="O580">
        <f t="shared" si="433"/>
        <v>542.25740638093941</v>
      </c>
      <c r="P580">
        <f t="shared" si="434"/>
        <v>1.5689521831187683</v>
      </c>
      <c r="Q580">
        <f t="shared" si="435"/>
        <v>751.29495484653455</v>
      </c>
      <c r="R580">
        <f t="shared" si="436"/>
        <v>1.569465291242448</v>
      </c>
      <c r="S580">
        <f t="shared" si="437"/>
        <v>1.4639830632994085E-2</v>
      </c>
      <c r="T580">
        <f t="shared" si="438"/>
        <v>-1.556155973165386</v>
      </c>
      <c r="U580">
        <f t="shared" si="439"/>
        <v>0.97926185591441284</v>
      </c>
      <c r="V580">
        <f t="shared" si="440"/>
        <v>-0.2040108897989161</v>
      </c>
      <c r="X580">
        <f t="shared" si="457"/>
        <v>-31.072294248877238</v>
      </c>
      <c r="Y580">
        <f t="shared" si="441"/>
        <v>-101.50630583504395</v>
      </c>
      <c r="Z580">
        <f t="shared" si="458"/>
        <v>78.493694164956054</v>
      </c>
      <c r="AC580">
        <v>1</v>
      </c>
      <c r="AD580">
        <f t="shared" si="442"/>
        <v>542.25648430884007</v>
      </c>
      <c r="AE580">
        <f t="shared" si="443"/>
        <v>-6.2349892870013418E-3</v>
      </c>
      <c r="AF580">
        <f t="shared" si="444"/>
        <v>3.0136858468479001E-2</v>
      </c>
      <c r="AG580">
        <f t="shared" si="473"/>
        <v>17247.99915983457</v>
      </c>
      <c r="AH580">
        <f t="shared" si="474"/>
        <v>-3601.6059901300891</v>
      </c>
      <c r="AJ580">
        <f t="shared" si="445"/>
        <v>18000</v>
      </c>
      <c r="AK580">
        <f t="shared" si="446"/>
        <v>1229390.65526508</v>
      </c>
      <c r="AL580">
        <v>1</v>
      </c>
      <c r="AM580">
        <f t="shared" si="447"/>
        <v>751.29428932866006</v>
      </c>
      <c r="AN580">
        <f t="shared" si="475"/>
        <v>1636.3926270752011</v>
      </c>
      <c r="AO580">
        <f t="shared" si="476"/>
        <v>-21.780556042222759</v>
      </c>
      <c r="AQ580">
        <f t="shared" si="448"/>
        <v>7.4651372491611235E-4</v>
      </c>
      <c r="AR580">
        <f t="shared" si="449"/>
        <v>-2.7322402331929712</v>
      </c>
      <c r="AT580">
        <f t="shared" si="470"/>
        <v>-9827.5769222420786</v>
      </c>
      <c r="AU580">
        <f t="shared" si="471"/>
        <v>-47128.36589488195</v>
      </c>
      <c r="AV580">
        <f t="shared" si="459"/>
        <v>-1.776378136233024</v>
      </c>
      <c r="AW580">
        <f t="shared" si="460"/>
        <v>40326.561333991725</v>
      </c>
      <c r="AX580">
        <f t="shared" si="461"/>
        <v>-12883.478738523288</v>
      </c>
      <c r="AY580">
        <f t="shared" si="469"/>
        <v>-0.30923002598508798</v>
      </c>
      <c r="BA580">
        <f t="shared" si="450"/>
        <v>1.1371823938510359</v>
      </c>
      <c r="BB580">
        <f t="shared" si="462"/>
        <v>1.1166025442419389</v>
      </c>
      <c r="BC580">
        <f t="shared" si="463"/>
        <v>-1.467148110247936</v>
      </c>
      <c r="BD580">
        <f t="shared" si="451"/>
        <v>-264.06139473385531</v>
      </c>
      <c r="BF580">
        <f t="shared" si="452"/>
        <v>-50.597299144420724</v>
      </c>
      <c r="BG580">
        <f t="shared" si="453"/>
        <v>-174.53564380350178</v>
      </c>
      <c r="BH580">
        <f t="shared" si="464"/>
        <v>5.4643561964982155</v>
      </c>
      <c r="BI580">
        <f t="shared" si="465"/>
        <v>5.4643561964982155</v>
      </c>
      <c r="BJ580">
        <f t="shared" si="454"/>
        <v>0</v>
      </c>
      <c r="BK580">
        <f t="shared" si="466"/>
        <v>0</v>
      </c>
      <c r="BM580">
        <f t="shared" si="467"/>
        <v>-51.713901688662666</v>
      </c>
      <c r="BN580">
        <f t="shared" si="455"/>
        <v>-90.47424906964649</v>
      </c>
      <c r="BQ580" s="66">
        <f t="shared" si="468"/>
        <v>18.018563344527074</v>
      </c>
    </row>
    <row r="581" spans="1:69" x14ac:dyDescent="0.2">
      <c r="A581">
        <f t="shared" si="472"/>
        <v>1835000</v>
      </c>
      <c r="B581">
        <f t="shared" si="456"/>
        <v>1835</v>
      </c>
      <c r="C581">
        <f t="shared" si="425"/>
        <v>114.14786611986997</v>
      </c>
      <c r="D581">
        <f t="shared" si="426"/>
        <v>1.5620356479868793</v>
      </c>
      <c r="F581">
        <f t="shared" si="427"/>
        <v>1.5120313157103236E-6</v>
      </c>
      <c r="G581">
        <f t="shared" si="428"/>
        <v>5.0602175678475135E-4</v>
      </c>
      <c r="H581">
        <f t="shared" si="429"/>
        <v>-3.1410866282432153</v>
      </c>
      <c r="J581">
        <f t="shared" si="430"/>
        <v>15</v>
      </c>
      <c r="M581">
        <f t="shared" si="431"/>
        <v>1.838419159645676E-3</v>
      </c>
      <c r="N581">
        <f t="shared" si="432"/>
        <v>-1.5707963250000001</v>
      </c>
      <c r="O581">
        <f t="shared" si="433"/>
        <v>543.7389789622257</v>
      </c>
      <c r="P581">
        <f t="shared" si="434"/>
        <v>1.5689572080220708</v>
      </c>
      <c r="Q581">
        <f t="shared" si="435"/>
        <v>753.34766967064593</v>
      </c>
      <c r="R581">
        <f t="shared" si="436"/>
        <v>1.5694689180380523</v>
      </c>
      <c r="S581">
        <f t="shared" si="437"/>
        <v>1.4599948600932888E-2</v>
      </c>
      <c r="T581">
        <f t="shared" si="438"/>
        <v>-1.5561958594603493</v>
      </c>
      <c r="U581">
        <f t="shared" si="439"/>
        <v>0.97915190201423841</v>
      </c>
      <c r="V581">
        <f t="shared" si="440"/>
        <v>-0.20455289765205092</v>
      </c>
      <c r="X581">
        <f t="shared" si="457"/>
        <v>-31.096966100502456</v>
      </c>
      <c r="Y581">
        <f t="shared" si="441"/>
        <v>-101.53785804647535</v>
      </c>
      <c r="Z581">
        <f t="shared" si="458"/>
        <v>78.46214195352465</v>
      </c>
      <c r="AC581">
        <v>1</v>
      </c>
      <c r="AD581">
        <f t="shared" si="442"/>
        <v>543.73805940258001</v>
      </c>
      <c r="AE581">
        <f t="shared" si="443"/>
        <v>-6.2691068117659808E-3</v>
      </c>
      <c r="AF581">
        <f t="shared" si="444"/>
        <v>3.0219199611835505E-2</v>
      </c>
      <c r="AG581">
        <f t="shared" si="473"/>
        <v>17244.126082791041</v>
      </c>
      <c r="AH581">
        <f t="shared" si="474"/>
        <v>-3610.461881520022</v>
      </c>
      <c r="AJ581">
        <f t="shared" si="445"/>
        <v>18000</v>
      </c>
      <c r="AK581">
        <f t="shared" si="446"/>
        <v>1232749.6461264601</v>
      </c>
      <c r="AL581">
        <v>1</v>
      </c>
      <c r="AM581">
        <f t="shared" si="447"/>
        <v>753.34700596616995</v>
      </c>
      <c r="AN581">
        <f t="shared" si="475"/>
        <v>1636.3924693031925</v>
      </c>
      <c r="AO581">
        <f t="shared" si="476"/>
        <v>-21.721208687503086</v>
      </c>
      <c r="AQ581">
        <f t="shared" si="448"/>
        <v>7.4245107303112551E-4</v>
      </c>
      <c r="AR581">
        <f t="shared" si="449"/>
        <v>-2.724795438024231</v>
      </c>
      <c r="AT581">
        <f t="shared" si="470"/>
        <v>-9824.9671440124839</v>
      </c>
      <c r="AU581">
        <f t="shared" si="471"/>
        <v>-46989.396674401753</v>
      </c>
      <c r="AV581">
        <f t="shared" si="459"/>
        <v>-1.7769158636624838</v>
      </c>
      <c r="AW581">
        <f t="shared" si="460"/>
        <v>40318.178137659983</v>
      </c>
      <c r="AX581">
        <f t="shared" si="461"/>
        <v>-12890.315538701398</v>
      </c>
      <c r="AY581">
        <f t="shared" si="469"/>
        <v>-0.30944415362779976</v>
      </c>
      <c r="BA581">
        <f t="shared" si="450"/>
        <v>1.1341146200546537</v>
      </c>
      <c r="BB581">
        <f t="shared" si="462"/>
        <v>1.0931389807620941</v>
      </c>
      <c r="BC581">
        <f t="shared" si="463"/>
        <v>-1.4674717100346841</v>
      </c>
      <c r="BD581">
        <f t="shared" si="451"/>
        <v>-264.0799356359085</v>
      </c>
      <c r="BF581">
        <f t="shared" si="452"/>
        <v>-50.644464175298545</v>
      </c>
      <c r="BG581">
        <f t="shared" si="453"/>
        <v>-174.55289254397243</v>
      </c>
      <c r="BH581">
        <f t="shared" si="464"/>
        <v>5.4471074560275667</v>
      </c>
      <c r="BI581">
        <f t="shared" si="465"/>
        <v>5.4471074560275667</v>
      </c>
      <c r="BJ581">
        <f t="shared" si="454"/>
        <v>0</v>
      </c>
      <c r="BK581">
        <f t="shared" si="466"/>
        <v>0</v>
      </c>
      <c r="BM581">
        <f t="shared" si="467"/>
        <v>-51.737603156060636</v>
      </c>
      <c r="BN581">
        <f t="shared" si="455"/>
        <v>-90.472956908063949</v>
      </c>
      <c r="BQ581" s="66">
        <f t="shared" si="468"/>
        <v>17.99509978104723</v>
      </c>
    </row>
    <row r="582" spans="1:69" x14ac:dyDescent="0.2">
      <c r="A582">
        <f t="shared" si="472"/>
        <v>1840000</v>
      </c>
      <c r="B582">
        <f t="shared" si="456"/>
        <v>1840</v>
      </c>
      <c r="C582">
        <f t="shared" si="425"/>
        <v>114.45887188950256</v>
      </c>
      <c r="D582">
        <f t="shared" si="426"/>
        <v>1.5620594529661957</v>
      </c>
      <c r="F582">
        <f t="shared" si="427"/>
        <v>1.5038249079763623E-6</v>
      </c>
      <c r="G582">
        <f t="shared" si="428"/>
        <v>5.0464669372040001E-4</v>
      </c>
      <c r="H582">
        <f t="shared" si="429"/>
        <v>-3.14108800330628</v>
      </c>
      <c r="J582">
        <f t="shared" si="430"/>
        <v>15</v>
      </c>
      <c r="M582">
        <f t="shared" si="431"/>
        <v>1.8334234554075084E-3</v>
      </c>
      <c r="N582">
        <f t="shared" si="432"/>
        <v>-1.5707963250000001</v>
      </c>
      <c r="O582">
        <f t="shared" si="433"/>
        <v>545.22055155716646</v>
      </c>
      <c r="P582">
        <f t="shared" si="434"/>
        <v>1.5689622056162087</v>
      </c>
      <c r="Q582">
        <f t="shared" si="435"/>
        <v>755.40038450461282</v>
      </c>
      <c r="R582">
        <f t="shared" si="436"/>
        <v>1.5694725251228456</v>
      </c>
      <c r="S582">
        <f t="shared" si="437"/>
        <v>1.4560283249930648E-2</v>
      </c>
      <c r="T582">
        <f t="shared" si="438"/>
        <v>-1.5562355290280523</v>
      </c>
      <c r="U582">
        <f t="shared" si="439"/>
        <v>0.97904168528445112</v>
      </c>
      <c r="V582">
        <f t="shared" si="440"/>
        <v>-0.20509478364378428</v>
      </c>
      <c r="X582">
        <f t="shared" si="457"/>
        <v>-31.121575929562411</v>
      </c>
      <c r="Y582">
        <f t="shared" si="441"/>
        <v>-101.56940057429659</v>
      </c>
      <c r="Z582">
        <f t="shared" si="458"/>
        <v>78.430599425703406</v>
      </c>
      <c r="AC582">
        <v>1</v>
      </c>
      <c r="AD582">
        <f t="shared" si="442"/>
        <v>545.21963449632005</v>
      </c>
      <c r="AE582">
        <f t="shared" si="443"/>
        <v>-6.3033174266391191E-3</v>
      </c>
      <c r="AF582">
        <f t="shared" si="444"/>
        <v>3.0301540755192001E-2</v>
      </c>
      <c r="AG582">
        <f t="shared" si="473"/>
        <v>17240.244184155275</v>
      </c>
      <c r="AH582">
        <f t="shared" si="474"/>
        <v>-3619.3120505500438</v>
      </c>
      <c r="AJ582">
        <f t="shared" si="445"/>
        <v>18000</v>
      </c>
      <c r="AK582">
        <f t="shared" si="446"/>
        <v>1236108.6369878401</v>
      </c>
      <c r="AL582">
        <v>1</v>
      </c>
      <c r="AM582">
        <f t="shared" si="447"/>
        <v>755.39972260367995</v>
      </c>
      <c r="AN582">
        <f t="shared" si="475"/>
        <v>1636.3923128156168</v>
      </c>
      <c r="AO582">
        <f t="shared" si="476"/>
        <v>-21.662183871054374</v>
      </c>
      <c r="AQ582">
        <f t="shared" si="448"/>
        <v>7.3842149556788345E-4</v>
      </c>
      <c r="AR582">
        <f t="shared" si="449"/>
        <v>-2.7173911036898111</v>
      </c>
      <c r="AT582">
        <f t="shared" si="470"/>
        <v>-9822.3558007475967</v>
      </c>
      <c r="AU582">
        <f t="shared" si="471"/>
        <v>-46851.158749280839</v>
      </c>
      <c r="AV582">
        <f t="shared" si="459"/>
        <v>-1.7774534924936227</v>
      </c>
      <c r="AW582">
        <f t="shared" si="460"/>
        <v>40309.772535144315</v>
      </c>
      <c r="AX582">
        <f t="shared" si="461"/>
        <v>-12897.210457380745</v>
      </c>
      <c r="AY582">
        <f t="shared" si="469"/>
        <v>-0.30965981023893718</v>
      </c>
      <c r="BA582">
        <f t="shared" si="450"/>
        <v>1.1310632690849938</v>
      </c>
      <c r="BB582">
        <f t="shared" si="462"/>
        <v>1.069737980842647</v>
      </c>
      <c r="BC582">
        <f t="shared" si="463"/>
        <v>-1.4677936822546855</v>
      </c>
      <c r="BD582">
        <f t="shared" si="451"/>
        <v>-264.09838328525609</v>
      </c>
      <c r="BF582">
        <f t="shared" si="452"/>
        <v>-50.691502138503061</v>
      </c>
      <c r="BG582">
        <f t="shared" si="453"/>
        <v>-174.57005505378251</v>
      </c>
      <c r="BH582">
        <f t="shared" si="464"/>
        <v>5.4299449462174891</v>
      </c>
      <c r="BI582">
        <f t="shared" si="465"/>
        <v>5.4299449462174891</v>
      </c>
      <c r="BJ582">
        <f t="shared" si="454"/>
        <v>0</v>
      </c>
      <c r="BK582">
        <f t="shared" si="466"/>
        <v>0</v>
      </c>
      <c r="BM582">
        <f t="shared" si="467"/>
        <v>-51.7612401193457</v>
      </c>
      <c r="BN582">
        <f t="shared" si="455"/>
        <v>-90.471671768526434</v>
      </c>
      <c r="BQ582" s="66">
        <f t="shared" si="468"/>
        <v>17.971698781127785</v>
      </c>
    </row>
    <row r="583" spans="1:69" x14ac:dyDescent="0.2">
      <c r="A583">
        <f t="shared" si="472"/>
        <v>1845000</v>
      </c>
      <c r="B583">
        <f t="shared" si="456"/>
        <v>1845</v>
      </c>
      <c r="C583">
        <f t="shared" si="425"/>
        <v>114.76987772364484</v>
      </c>
      <c r="D583">
        <f t="shared" si="426"/>
        <v>1.5620831289310559</v>
      </c>
      <c r="F583">
        <f t="shared" si="427"/>
        <v>1.4956851286815549E-6</v>
      </c>
      <c r="G583">
        <f t="shared" si="428"/>
        <v>5.0327908360431057E-4</v>
      </c>
      <c r="H583">
        <f t="shared" si="429"/>
        <v>-3.1410893709163958</v>
      </c>
      <c r="J583">
        <f t="shared" si="430"/>
        <v>15</v>
      </c>
      <c r="M583">
        <f t="shared" si="431"/>
        <v>1.8284548281570813E-3</v>
      </c>
      <c r="N583">
        <f t="shared" si="432"/>
        <v>-1.5707963250000001</v>
      </c>
      <c r="O583">
        <f t="shared" si="433"/>
        <v>546.70212416565096</v>
      </c>
      <c r="P583">
        <f t="shared" si="434"/>
        <v>1.568967176123206</v>
      </c>
      <c r="Q583">
        <f t="shared" si="435"/>
        <v>757.45309934835484</v>
      </c>
      <c r="R583">
        <f t="shared" si="436"/>
        <v>1.569476112657078</v>
      </c>
      <c r="S583">
        <f t="shared" si="437"/>
        <v>1.4520832819098712E-2</v>
      </c>
      <c r="T583">
        <f t="shared" si="438"/>
        <v>-1.5562749836300076</v>
      </c>
      <c r="U583">
        <f t="shared" si="439"/>
        <v>0.97893120600794836</v>
      </c>
      <c r="V583">
        <f t="shared" si="440"/>
        <v>-0.20563654749707755</v>
      </c>
      <c r="X583">
        <f t="shared" si="457"/>
        <v>-31.146124084097554</v>
      </c>
      <c r="Y583">
        <f t="shared" si="441"/>
        <v>-101.60093342457537</v>
      </c>
      <c r="Z583">
        <f t="shared" si="458"/>
        <v>78.399066575424627</v>
      </c>
      <c r="AC583">
        <v>1</v>
      </c>
      <c r="AD583">
        <f t="shared" si="442"/>
        <v>546.70120959005999</v>
      </c>
      <c r="AE583">
        <f t="shared" si="443"/>
        <v>-6.337621131620755E-3</v>
      </c>
      <c r="AF583">
        <f t="shared" si="444"/>
        <v>3.0383881898548501E-2</v>
      </c>
      <c r="AG583">
        <f t="shared" si="473"/>
        <v>17236.353477015553</v>
      </c>
      <c r="AH583">
        <f t="shared" si="474"/>
        <v>-3628.1564809954366</v>
      </c>
      <c r="AJ583">
        <f t="shared" si="445"/>
        <v>18000</v>
      </c>
      <c r="AK583">
        <f t="shared" si="446"/>
        <v>1239467.6278492198</v>
      </c>
      <c r="AL583">
        <v>1</v>
      </c>
      <c r="AM583">
        <f t="shared" si="447"/>
        <v>757.45243924118995</v>
      </c>
      <c r="AN583">
        <f t="shared" si="475"/>
        <v>1636.3921575985698</v>
      </c>
      <c r="AO583">
        <f t="shared" si="476"/>
        <v>-21.603478970632622</v>
      </c>
      <c r="AQ583">
        <f t="shared" si="448"/>
        <v>7.3442463448236759E-4</v>
      </c>
      <c r="AR583">
        <f t="shared" si="449"/>
        <v>-2.7100269012399365</v>
      </c>
      <c r="AT583">
        <f t="shared" si="470"/>
        <v>-9819.7428628034904</v>
      </c>
      <c r="AU583">
        <f t="shared" si="471"/>
        <v>-46713.646209490063</v>
      </c>
      <c r="AV583">
        <f t="shared" si="459"/>
        <v>-1.7779910222602719</v>
      </c>
      <c r="AW583">
        <f t="shared" si="460"/>
        <v>40301.344583864106</v>
      </c>
      <c r="AX583">
        <f t="shared" si="461"/>
        <v>-12904.162881040971</v>
      </c>
      <c r="AY583">
        <f t="shared" si="469"/>
        <v>-0.30987698227268456</v>
      </c>
      <c r="BA583">
        <f t="shared" si="450"/>
        <v>1.1280282100825947</v>
      </c>
      <c r="BB583">
        <f t="shared" si="462"/>
        <v>1.0463992151097528</v>
      </c>
      <c r="BC583">
        <f t="shared" si="463"/>
        <v>-1.4681140399875874</v>
      </c>
      <c r="BD583">
        <f t="shared" si="451"/>
        <v>-264.11673843130671</v>
      </c>
      <c r="BF583">
        <f t="shared" si="452"/>
        <v>-50.738413713581984</v>
      </c>
      <c r="BG583">
        <f t="shared" si="453"/>
        <v>-174.58713202525695</v>
      </c>
      <c r="BH583">
        <f t="shared" si="464"/>
        <v>5.412867974743051</v>
      </c>
      <c r="BI583">
        <f t="shared" si="465"/>
        <v>5.412867974743051</v>
      </c>
      <c r="BJ583">
        <f t="shared" si="454"/>
        <v>0</v>
      </c>
      <c r="BK583">
        <f t="shared" si="466"/>
        <v>0</v>
      </c>
      <c r="BM583">
        <f t="shared" si="467"/>
        <v>-51.784812928691736</v>
      </c>
      <c r="BN583">
        <f t="shared" si="455"/>
        <v>-90.470393593950234</v>
      </c>
      <c r="BQ583" s="66">
        <f t="shared" si="468"/>
        <v>17.94836001539489</v>
      </c>
    </row>
    <row r="584" spans="1:69" x14ac:dyDescent="0.2">
      <c r="A584">
        <f t="shared" si="472"/>
        <v>1850000</v>
      </c>
      <c r="B584">
        <f t="shared" si="456"/>
        <v>1850</v>
      </c>
      <c r="C584">
        <f t="shared" si="425"/>
        <v>115.08088362177378</v>
      </c>
      <c r="D584">
        <f t="shared" si="426"/>
        <v>1.5621066769274174</v>
      </c>
      <c r="F584">
        <f t="shared" si="427"/>
        <v>1.4876112584910688E-6</v>
      </c>
      <c r="G584">
        <f t="shared" si="428"/>
        <v>5.0191886600682893E-4</v>
      </c>
      <c r="H584">
        <f t="shared" si="429"/>
        <v>-3.1410907311339935</v>
      </c>
      <c r="J584">
        <f t="shared" si="430"/>
        <v>15</v>
      </c>
      <c r="M584">
        <f t="shared" si="431"/>
        <v>1.8235130583512515E-3</v>
      </c>
      <c r="N584">
        <f t="shared" si="432"/>
        <v>-1.5707963250000001</v>
      </c>
      <c r="O584">
        <f t="shared" si="433"/>
        <v>548.18369678756903</v>
      </c>
      <c r="P584">
        <f t="shared" si="434"/>
        <v>1.5689721197626878</v>
      </c>
      <c r="Q584">
        <f t="shared" si="435"/>
        <v>759.50581420179299</v>
      </c>
      <c r="R584">
        <f t="shared" si="436"/>
        <v>1.569479680799267</v>
      </c>
      <c r="S584">
        <f t="shared" si="437"/>
        <v>1.4481595566575028E-2</v>
      </c>
      <c r="T584">
        <f t="shared" si="438"/>
        <v>-1.5563142250086917</v>
      </c>
      <c r="U584">
        <f t="shared" si="439"/>
        <v>0.97882046446812654</v>
      </c>
      <c r="V584">
        <f t="shared" si="440"/>
        <v>-0.20617818893530371</v>
      </c>
      <c r="X584">
        <f t="shared" si="457"/>
        <v>-31.170610909306895</v>
      </c>
      <c r="Y584">
        <f t="shared" si="441"/>
        <v>-101.63245660316623</v>
      </c>
      <c r="Z584">
        <f t="shared" si="458"/>
        <v>78.367543396833767</v>
      </c>
      <c r="AC584">
        <v>1</v>
      </c>
      <c r="AD584">
        <f t="shared" si="442"/>
        <v>548.18278468380015</v>
      </c>
      <c r="AE584">
        <f t="shared" si="443"/>
        <v>-6.3720179267108884E-3</v>
      </c>
      <c r="AF584">
        <f t="shared" si="444"/>
        <v>3.0466223041905001E-2</v>
      </c>
      <c r="AG584">
        <f t="shared" si="473"/>
        <v>17232.453974480733</v>
      </c>
      <c r="AH584">
        <f t="shared" si="474"/>
        <v>-3636.9951567085704</v>
      </c>
      <c r="AJ584">
        <f t="shared" si="445"/>
        <v>18000</v>
      </c>
      <c r="AK584">
        <f t="shared" si="446"/>
        <v>1242826.6187105998</v>
      </c>
      <c r="AL584">
        <v>1</v>
      </c>
      <c r="AM584">
        <f t="shared" si="447"/>
        <v>759.50515587869995</v>
      </c>
      <c r="AN584">
        <f t="shared" si="475"/>
        <v>1636.3920036383356</v>
      </c>
      <c r="AO584">
        <f t="shared" si="476"/>
        <v>-21.545091392342155</v>
      </c>
      <c r="AQ584">
        <f t="shared" si="448"/>
        <v>7.3046013656244435E-4</v>
      </c>
      <c r="AR584">
        <f t="shared" si="449"/>
        <v>-2.7027025052810441</v>
      </c>
      <c r="AT584">
        <f t="shared" si="470"/>
        <v>-9817.1283010477709</v>
      </c>
      <c r="AU584">
        <f t="shared" si="471"/>
        <v>-46576.853208948211</v>
      </c>
      <c r="AV584">
        <f t="shared" si="459"/>
        <v>-1.7785284524987195</v>
      </c>
      <c r="AW584">
        <f t="shared" si="460"/>
        <v>40292.894340906838</v>
      </c>
      <c r="AX584">
        <f t="shared" si="461"/>
        <v>-12911.172202574118</v>
      </c>
      <c r="AY584">
        <f t="shared" si="469"/>
        <v>-0.31009565632505581</v>
      </c>
      <c r="BA584">
        <f t="shared" si="450"/>
        <v>1.1250093135674144</v>
      </c>
      <c r="BB584">
        <f t="shared" si="462"/>
        <v>1.0231223567554832</v>
      </c>
      <c r="BC584">
        <f t="shared" si="463"/>
        <v>-1.4684327961736636</v>
      </c>
      <c r="BD584">
        <f t="shared" si="451"/>
        <v>-264.13500181548341</v>
      </c>
      <c r="BF584">
        <f t="shared" si="452"/>
        <v>-50.785199574673115</v>
      </c>
      <c r="BG584">
        <f t="shared" si="453"/>
        <v>-174.60412414335229</v>
      </c>
      <c r="BH584">
        <f t="shared" si="464"/>
        <v>5.3958758566477059</v>
      </c>
      <c r="BI584">
        <f t="shared" si="465"/>
        <v>5.3958758566477059</v>
      </c>
      <c r="BJ584">
        <f t="shared" si="454"/>
        <v>0</v>
      </c>
      <c r="BK584">
        <f t="shared" si="466"/>
        <v>0</v>
      </c>
      <c r="BM584">
        <f t="shared" si="467"/>
        <v>-51.808321931428594</v>
      </c>
      <c r="BN584">
        <f t="shared" si="455"/>
        <v>-90.469122327868845</v>
      </c>
      <c r="BQ584" s="66">
        <f t="shared" si="468"/>
        <v>17.925083157040621</v>
      </c>
    </row>
    <row r="585" spans="1:69" x14ac:dyDescent="0.2">
      <c r="A585">
        <f t="shared" si="472"/>
        <v>1855000</v>
      </c>
      <c r="B585">
        <f t="shared" si="456"/>
        <v>1855</v>
      </c>
      <c r="C585">
        <f t="shared" ref="C585:C626" si="477">SQRT((A585/Fesr)^2+1)</f>
        <v>115.39188958337203</v>
      </c>
      <c r="D585">
        <f t="shared" ref="D585:D614" si="478">ATAN(A585/Fesr)</f>
        <v>1.5621300979899617</v>
      </c>
      <c r="F585">
        <f t="shared" ref="F585:F626" si="479">(Ro/(Ro+Rdcr))/SQRT((A585/(Q*Fo))^2+(1-(A585^2/Fo^2))^2)</f>
        <v>1.4796025877515549E-6</v>
      </c>
      <c r="G585">
        <f t="shared" ref="G585:G614" si="480">-ATAN(A585*Fo/(Q*(Fo^2-A585^2)))</f>
        <v>5.005659811498388E-4</v>
      </c>
      <c r="H585">
        <f t="shared" ref="H585:H648" si="481">IF(G585&gt;0,G585-Pi,G585)</f>
        <v>-3.1410920840188505</v>
      </c>
      <c r="J585">
        <f t="shared" ref="J585:J648" si="482">Vin/Vramp</f>
        <v>15</v>
      </c>
      <c r="M585">
        <f t="shared" ref="M585:M614" si="483">1/(2*Pi*_Rfb1*(Cc1ea_u+Cc2ea_u)*A585)</f>
        <v>1.8185979288139168E-3</v>
      </c>
      <c r="N585">
        <f t="shared" ref="N585:N648" si="484">-Pi/2</f>
        <v>-1.5707963250000001</v>
      </c>
      <c r="O585">
        <f t="shared" ref="O585:O614" si="485">SQRT(1+(A585/Fz1_u)^2)</f>
        <v>549.66526942281246</v>
      </c>
      <c r="P585">
        <f t="shared" ref="P585:P648" si="486">ATAN2(Fz1_u,A585)</f>
        <v>1.5689770367519105</v>
      </c>
      <c r="Q585">
        <f t="shared" ref="Q585:Q614" si="487">SQRT(1+(A585/Fz2_u)^2)</f>
        <v>761.5585290648487</v>
      </c>
      <c r="R585">
        <f t="shared" ref="R585:R648" si="488">ATAN2(Fz2_u,A585)</f>
        <v>1.5694832297062216</v>
      </c>
      <c r="S585">
        <f t="shared" ref="S585:S614" si="489">1/SQRT(1+(A585/Fp1_u)^2)</f>
        <v>1.4442569769267883E-2</v>
      </c>
      <c r="T585">
        <f t="shared" ref="T585:T648" si="490">-ATAN2(Fp1_u,A585)</f>
        <v>-1.5563532548878001</v>
      </c>
      <c r="U585">
        <f t="shared" ref="U585:U626" si="491">1/SQRT(1+(A585/Fp2_u)^2)</f>
        <v>0.97870946094888089</v>
      </c>
      <c r="V585">
        <f t="shared" ref="V585:V648" si="492">-ATAN2(Fp2_u,A585)</f>
        <v>-0.20671970768224807</v>
      </c>
      <c r="X585">
        <f t="shared" si="457"/>
        <v>-31.195036747578612</v>
      </c>
      <c r="Y585">
        <f t="shared" ref="Y585:Y614" si="493">(180/Pi)*(D585+H585+N585+P585+R585+T585+V585)</f>
        <v>-101.66397011571341</v>
      </c>
      <c r="Z585">
        <f t="shared" si="458"/>
        <v>78.336029884286589</v>
      </c>
      <c r="AC585">
        <v>1</v>
      </c>
      <c r="AD585">
        <f t="shared" ref="AD585:AD626" si="494">Rcea1_u*Cc1ea_u*A585*2*Pi</f>
        <v>549.66435977754008</v>
      </c>
      <c r="AE585">
        <f t="shared" ref="AE585:AE626" si="495">-Rcea1_u*Cc1ea_u*Cc2ea_u*(A585*2*Pi)^2</f>
        <v>-6.406507811909521E-3</v>
      </c>
      <c r="AF585">
        <f t="shared" ref="AF585:AF626" si="496">(Cc2ea_u+Cc1ea_u)*A585*2*Pi</f>
        <v>3.0548564185261504E-2</v>
      </c>
      <c r="AG585">
        <f t="shared" si="473"/>
        <v>17228.545689680112</v>
      </c>
      <c r="AH585">
        <f t="shared" si="474"/>
        <v>-3645.8280616183506</v>
      </c>
      <c r="AJ585">
        <f t="shared" ref="AJ585:AJ648" si="497">_Rfb1</f>
        <v>18000</v>
      </c>
      <c r="AK585">
        <f t="shared" ref="AK585:AK626" si="498">_Rfb1*Rcea2_u*Cc3ea_u*A585*2*Pi</f>
        <v>1246185.6095719798</v>
      </c>
      <c r="AL585">
        <v>1</v>
      </c>
      <c r="AM585">
        <f t="shared" ref="AM585:AM626" si="499">(_Rfb1+Rcea2_u)*Cc3ea_u*A585*2*Pi</f>
        <v>761.55787251620995</v>
      </c>
      <c r="AN585">
        <f t="shared" si="475"/>
        <v>1636.3918509213811</v>
      </c>
      <c r="AO585">
        <f t="shared" si="476"/>
        <v>-21.487018570253589</v>
      </c>
      <c r="AQ585">
        <f t="shared" ref="AQ585:AQ626" si="500">Eadcg/(1+(Eadcg*A585/GBP)^2)</f>
        <v>7.2652765334982653E-4</v>
      </c>
      <c r="AR585">
        <f t="shared" ref="AR585:AR626" si="501">-(A585*Eadcg*Eadcg/GBP)/(1+(Eadcg*A585/GBP)^2)</f>
        <v>-2.6954175939278562</v>
      </c>
      <c r="AT585">
        <f t="shared" si="470"/>
        <v>-9814.5120868514423</v>
      </c>
      <c r="AU585">
        <f t="shared" si="471"/>
        <v>-46440.773964659827</v>
      </c>
      <c r="AV585">
        <f t="shared" si="459"/>
        <v>-1.7790657827476826</v>
      </c>
      <c r="AW585">
        <f t="shared" si="460"/>
        <v>40284.421863033982</v>
      </c>
      <c r="AX585">
        <f t="shared" si="461"/>
        <v>-12918.237821199276</v>
      </c>
      <c r="AY585">
        <f t="shared" si="469"/>
        <v>-0.31031581913202061</v>
      </c>
      <c r="BA585">
        <f t="shared" ref="BA585:BA648" si="502">SQRT(AT585^2+AU585^2)/SQRT(AW585^2+AX585^2)</f>
        <v>1.1220064514207968</v>
      </c>
      <c r="BB585">
        <f t="shared" si="462"/>
        <v>0.99990708151154006</v>
      </c>
      <c r="BC585">
        <f t="shared" si="463"/>
        <v>-1.468749963615662</v>
      </c>
      <c r="BD585">
        <f t="shared" ref="BD585:BD648" si="503">BC585*180/Pi-180</f>
        <v>-264.15317417132968</v>
      </c>
      <c r="BF585">
        <f t="shared" ref="BF585:BF648" si="504">20*LOG(BA585*J585*F585*C585)</f>
        <v>-50.831860390561346</v>
      </c>
      <c r="BG585">
        <f t="shared" ref="BG585:BG648" si="505">(180/Pi)*(D585+H585+BC585)</f>
        <v>-174.62103208575405</v>
      </c>
      <c r="BH585">
        <f t="shared" si="464"/>
        <v>5.3789679142459477</v>
      </c>
      <c r="BI585">
        <f t="shared" si="465"/>
        <v>5.3789679142459477</v>
      </c>
      <c r="BJ585">
        <f t="shared" ref="BJ585:BJ648" si="506">SUM((BF586&lt;0)*(BF585&gt;0))*A585</f>
        <v>0</v>
      </c>
      <c r="BK585">
        <f t="shared" si="466"/>
        <v>0</v>
      </c>
      <c r="BM585">
        <f t="shared" si="467"/>
        <v>-51.831767472072897</v>
      </c>
      <c r="BN585">
        <f t="shared" ref="BN585:BN648" si="507">(H585+D585)*180/Pi</f>
        <v>-90.467857914424386</v>
      </c>
      <c r="BQ585" s="66">
        <f t="shared" si="468"/>
        <v>17.901867881796676</v>
      </c>
    </row>
    <row r="586" spans="1:69" x14ac:dyDescent="0.2">
      <c r="A586">
        <f t="shared" si="472"/>
        <v>1860000</v>
      </c>
      <c r="B586">
        <f t="shared" ref="B586:B649" si="508">A586/1000</f>
        <v>1860</v>
      </c>
      <c r="C586">
        <f t="shared" si="477"/>
        <v>115.70289560792779</v>
      </c>
      <c r="D586">
        <f t="shared" si="478"/>
        <v>1.5621533931422462</v>
      </c>
      <c r="F586">
        <f t="shared" si="479"/>
        <v>1.4716584163352035E-6</v>
      </c>
      <c r="G586">
        <f t="shared" si="480"/>
        <v>4.9922036989800294E-4</v>
      </c>
      <c r="H586">
        <f t="shared" si="481"/>
        <v>-3.1410934296301023</v>
      </c>
      <c r="J586">
        <f t="shared" si="482"/>
        <v>15</v>
      </c>
      <c r="M586">
        <f t="shared" si="483"/>
        <v>1.813709224704202E-3</v>
      </c>
      <c r="N586">
        <f t="shared" si="484"/>
        <v>-1.5707963250000001</v>
      </c>
      <c r="O586">
        <f t="shared" si="485"/>
        <v>551.14684207127345</v>
      </c>
      <c r="P586">
        <f t="shared" si="486"/>
        <v>1.5689819273057943</v>
      </c>
      <c r="Q586">
        <f t="shared" si="487"/>
        <v>763.61124393744456</v>
      </c>
      <c r="R586">
        <f t="shared" si="488"/>
        <v>1.5694867595330639</v>
      </c>
      <c r="S586">
        <f t="shared" si="489"/>
        <v>1.4403753722603762E-2</v>
      </c>
      <c r="T586">
        <f t="shared" si="490"/>
        <v>-1.5563920749725011</v>
      </c>
      <c r="U586">
        <f t="shared" si="491"/>
        <v>0.9785981957346036</v>
      </c>
      <c r="V586">
        <f t="shared" si="492"/>
        <v>-0.20726110346210888</v>
      </c>
      <c r="X586">
        <f t="shared" ref="X586:X614" si="509">20*LOG(C586*J586*O586*Q586*F586*M586*S586*U586)</f>
        <v>-31.219401938520303</v>
      </c>
      <c r="Y586">
        <f t="shared" si="493"/>
        <v>-101.69547396765441</v>
      </c>
      <c r="Z586">
        <f t="shared" ref="Z586:Z649" si="510">Y586+180</f>
        <v>78.304526032345592</v>
      </c>
      <c r="AC586">
        <v>1</v>
      </c>
      <c r="AD586">
        <f t="shared" si="494"/>
        <v>551.14593487128002</v>
      </c>
      <c r="AE586">
        <f t="shared" si="495"/>
        <v>-6.4410907872166513E-3</v>
      </c>
      <c r="AF586">
        <f t="shared" si="496"/>
        <v>3.0630905328618001E-2</v>
      </c>
      <c r="AG586">
        <f t="shared" si="473"/>
        <v>17224.62863576334</v>
      </c>
      <c r="AH586">
        <f t="shared" si="474"/>
        <v>-3654.6551797296843</v>
      </c>
      <c r="AJ586">
        <f t="shared" si="497"/>
        <v>18000</v>
      </c>
      <c r="AK586">
        <f t="shared" si="498"/>
        <v>1249544.6004333601</v>
      </c>
      <c r="AL586">
        <v>1</v>
      </c>
      <c r="AM586">
        <f t="shared" si="499"/>
        <v>763.61058915372007</v>
      </c>
      <c r="AN586">
        <f t="shared" si="475"/>
        <v>1636.391699434356</v>
      </c>
      <c r="AO586">
        <f t="shared" si="476"/>
        <v>-21.429257966027937</v>
      </c>
      <c r="AQ586">
        <f t="shared" si="500"/>
        <v>7.2262684106350148E-4</v>
      </c>
      <c r="AR586">
        <f t="shared" si="501"/>
        <v>-2.6881718487562254</v>
      </c>
      <c r="AT586">
        <f t="shared" si="470"/>
        <v>-9811.8941920809084</v>
      </c>
      <c r="AU586">
        <f t="shared" si="471"/>
        <v>-46305.402755867064</v>
      </c>
      <c r="AV586">
        <f t="shared" ref="AV586:AV649" si="511">ATAN2(AT586,AU586)</f>
        <v>-1.7796030125482818</v>
      </c>
      <c r="AW586">
        <f t="shared" ref="AW586:AW649" si="512">AG586-AH586*AO586/_Rfb2+AG586*AN586/_Rfb2+AN586-AO586*AR586+AQ586*AN586</f>
        <v>40275.927206686698</v>
      </c>
      <c r="AX586">
        <f t="shared" ref="AX586:AX649" si="513">AH586+AH586*AN586/_Rfb2+AG586*AO586/_Rfb2+AO586+AO586*AQ586+AN586*AR586</f>
        <v>-12925.35914237866</v>
      </c>
      <c r="AY586">
        <f t="shared" si="469"/>
        <v>-0.31053745756766182</v>
      </c>
      <c r="BA586">
        <f t="shared" si="502"/>
        <v>1.1190194968677221</v>
      </c>
      <c r="BB586">
        <f t="shared" ref="BB586:BB649" si="514">20*LOG(BA586)</f>
        <v>0.97675306762332503</v>
      </c>
      <c r="BC586">
        <f t="shared" ref="BC586:BC649" si="515">AV586-AY586</f>
        <v>-1.46906555498062</v>
      </c>
      <c r="BD586">
        <f t="shared" si="503"/>
        <v>-264.17125622461322</v>
      </c>
      <c r="BF586">
        <f t="shared" si="504"/>
        <v>-50.878396824734907</v>
      </c>
      <c r="BG586">
        <f t="shared" si="505"/>
        <v>-174.6378565229727</v>
      </c>
      <c r="BH586">
        <f t="shared" ref="BH586:BH649" si="516">IF(BG586&gt;180,BG586-180,BG586+180)</f>
        <v>5.3621434770273027</v>
      </c>
      <c r="BI586">
        <f t="shared" ref="BI586:BI649" si="517">IF(BH586&gt;180,BH586-360,BH586)</f>
        <v>5.3621434770273027</v>
      </c>
      <c r="BJ586">
        <f t="shared" si="506"/>
        <v>0</v>
      </c>
      <c r="BK586">
        <f t="shared" ref="BK586:BK649" si="518">IF(BJ586&gt;0,BI586,0)</f>
        <v>0</v>
      </c>
      <c r="BM586">
        <f t="shared" ref="BM586:BM649" si="519">20*LOG(J586*F586*C586)</f>
        <v>-51.855149892358234</v>
      </c>
      <c r="BN586">
        <f t="shared" si="507"/>
        <v>-90.466600298359509</v>
      </c>
      <c r="BQ586" s="66">
        <f t="shared" ref="BQ586:BQ649" si="520">20*LOG(BA586*7)</f>
        <v>17.878713867908463</v>
      </c>
    </row>
    <row r="587" spans="1:69" x14ac:dyDescent="0.2">
      <c r="A587">
        <f t="shared" si="472"/>
        <v>1865000</v>
      </c>
      <c r="B587">
        <f t="shared" si="508"/>
        <v>1865</v>
      </c>
      <c r="C587">
        <f t="shared" si="477"/>
        <v>116.0139016949347</v>
      </c>
      <c r="D587">
        <f t="shared" si="478"/>
        <v>1.5621765633968534</v>
      </c>
      <c r="F587">
        <f t="shared" si="479"/>
        <v>1.4637780534867248E-6</v>
      </c>
      <c r="G587">
        <f t="shared" si="480"/>
        <v>4.9788197375014859E-4</v>
      </c>
      <c r="H587">
        <f t="shared" si="481"/>
        <v>-3.14109476802625</v>
      </c>
      <c r="J587">
        <f t="shared" si="482"/>
        <v>15</v>
      </c>
      <c r="M587">
        <f t="shared" si="483"/>
        <v>1.8088467334851554E-3</v>
      </c>
      <c r="N587">
        <f t="shared" si="484"/>
        <v>-1.5707963250000001</v>
      </c>
      <c r="O587">
        <f t="shared" si="485"/>
        <v>552.62841473284595</v>
      </c>
      <c r="P587">
        <f t="shared" si="486"/>
        <v>1.5689867916369553</v>
      </c>
      <c r="Q587">
        <f t="shared" si="487"/>
        <v>765.6639588195037</v>
      </c>
      <c r="R587">
        <f t="shared" si="488"/>
        <v>1.5694902704332532</v>
      </c>
      <c r="S587">
        <f t="shared" si="489"/>
        <v>1.4365145740279282E-2</v>
      </c>
      <c r="T587">
        <f t="shared" si="490"/>
        <v>-1.5564306869496829</v>
      </c>
      <c r="U587">
        <f t="shared" si="491"/>
        <v>0.97848666911018123</v>
      </c>
      <c r="V587">
        <f t="shared" si="492"/>
        <v>-0.207802375999498</v>
      </c>
      <c r="X587">
        <f t="shared" si="509"/>
        <v>-31.24370681898877</v>
      </c>
      <c r="Y587">
        <f t="shared" si="493"/>
        <v>-101.72696816422282</v>
      </c>
      <c r="Z587">
        <f t="shared" si="510"/>
        <v>78.273031835777175</v>
      </c>
      <c r="AC587">
        <v>1</v>
      </c>
      <c r="AD587">
        <f t="shared" si="494"/>
        <v>552.62750996502007</v>
      </c>
      <c r="AE587">
        <f t="shared" si="495"/>
        <v>-6.475766852632279E-3</v>
      </c>
      <c r="AF587">
        <f t="shared" si="496"/>
        <v>3.0713246471974501E-2</v>
      </c>
      <c r="AG587">
        <f t="shared" si="473"/>
        <v>17220.702825900353</v>
      </c>
      <c r="AH587">
        <f t="shared" si="474"/>
        <v>-3663.4764951229522</v>
      </c>
      <c r="AJ587">
        <f t="shared" si="497"/>
        <v>18000</v>
      </c>
      <c r="AK587">
        <f t="shared" si="498"/>
        <v>1252903.5912947401</v>
      </c>
      <c r="AL587">
        <v>1</v>
      </c>
      <c r="AM587">
        <f t="shared" si="499"/>
        <v>765.66330579122996</v>
      </c>
      <c r="AN587">
        <f t="shared" si="475"/>
        <v>1636.3915491640894</v>
      </c>
      <c r="AO587">
        <f t="shared" si="476"/>
        <v>-21.371807068546794</v>
      </c>
      <c r="AQ587">
        <f t="shared" si="500"/>
        <v>7.1875736052459508E-4</v>
      </c>
      <c r="AR587">
        <f t="shared" si="501"/>
        <v>-2.6809649547567398</v>
      </c>
      <c r="AT587">
        <f t="shared" si="470"/>
        <v>-9809.2745890901624</v>
      </c>
      <c r="AU587">
        <f t="shared" si="471"/>
        <v>-46170.733923215179</v>
      </c>
      <c r="AV587">
        <f t="shared" si="511"/>
        <v>-1.7801401414440137</v>
      </c>
      <c r="AW587">
        <f t="shared" si="512"/>
        <v>40267.410427991672</v>
      </c>
      <c r="AX587">
        <f t="shared" si="513"/>
        <v>-12932.535577735009</v>
      </c>
      <c r="AY587">
        <f t="shared" ref="AY587:AY650" si="521">ATAN2(AW587,AX587)</f>
        <v>-0.3107605586423598</v>
      </c>
      <c r="BA587">
        <f t="shared" si="502"/>
        <v>1.1160483244593289</v>
      </c>
      <c r="BB587">
        <f t="shared" si="514"/>
        <v>0.95365999582430749</v>
      </c>
      <c r="BC587">
        <f t="shared" si="515"/>
        <v>-1.4693795828016538</v>
      </c>
      <c r="BD587">
        <f t="shared" si="503"/>
        <v>-264.18924869342868</v>
      </c>
      <c r="BF587">
        <f t="shared" si="504"/>
        <v>-50.924809535440886</v>
      </c>
      <c r="BG587">
        <f t="shared" si="505"/>
        <v>-174.65459811843812</v>
      </c>
      <c r="BH587">
        <f t="shared" si="516"/>
        <v>5.3454018815618838</v>
      </c>
      <c r="BI587">
        <f t="shared" si="517"/>
        <v>5.3454018815618838</v>
      </c>
      <c r="BJ587">
        <f t="shared" si="506"/>
        <v>0</v>
      </c>
      <c r="BK587">
        <f t="shared" si="518"/>
        <v>0</v>
      </c>
      <c r="BM587">
        <f t="shared" si="519"/>
        <v>-51.878469531265182</v>
      </c>
      <c r="BN587">
        <f t="shared" si="507"/>
        <v>-90.465349425009435</v>
      </c>
      <c r="BQ587" s="66">
        <f t="shared" si="520"/>
        <v>17.855620796109445</v>
      </c>
    </row>
    <row r="588" spans="1:69" x14ac:dyDescent="0.2">
      <c r="A588">
        <f t="shared" si="472"/>
        <v>1870000</v>
      </c>
      <c r="B588">
        <f t="shared" si="508"/>
        <v>1870</v>
      </c>
      <c r="C588">
        <f t="shared" si="477"/>
        <v>116.32490784389189</v>
      </c>
      <c r="D588">
        <f t="shared" si="478"/>
        <v>1.5621996097555371</v>
      </c>
      <c r="F588">
        <f t="shared" si="479"/>
        <v>1.4559608176731868E-6</v>
      </c>
      <c r="G588">
        <f t="shared" si="480"/>
        <v>4.9655073483078781E-4</v>
      </c>
      <c r="H588">
        <f t="shared" si="481"/>
        <v>-3.1410960992651695</v>
      </c>
      <c r="J588">
        <f t="shared" si="482"/>
        <v>15</v>
      </c>
      <c r="M588">
        <f t="shared" si="483"/>
        <v>1.8040102448929494E-3</v>
      </c>
      <c r="N588">
        <f t="shared" si="484"/>
        <v>-1.5707963250000001</v>
      </c>
      <c r="O588">
        <f t="shared" si="485"/>
        <v>554.10998740742457</v>
      </c>
      <c r="P588">
        <f t="shared" si="486"/>
        <v>1.5689916299557352</v>
      </c>
      <c r="Q588">
        <f t="shared" si="487"/>
        <v>767.71667371095032</v>
      </c>
      <c r="R588">
        <f t="shared" si="488"/>
        <v>1.5694937625586072</v>
      </c>
      <c r="S588">
        <f t="shared" si="489"/>
        <v>1.4326744154017078E-2</v>
      </c>
      <c r="T588">
        <f t="shared" si="490"/>
        <v>-1.5564690924881985</v>
      </c>
      <c r="U588">
        <f t="shared" si="491"/>
        <v>0.97837488136099282</v>
      </c>
      <c r="V588">
        <f t="shared" si="492"/>
        <v>-0.20834352501944148</v>
      </c>
      <c r="X588">
        <f t="shared" si="509"/>
        <v>-31.267951723119431</v>
      </c>
      <c r="Y588">
        <f t="shared" si="493"/>
        <v>-101.75845271045162</v>
      </c>
      <c r="Z588">
        <f t="shared" si="510"/>
        <v>78.241547289548379</v>
      </c>
      <c r="AC588">
        <v>1</v>
      </c>
      <c r="AD588">
        <f t="shared" si="494"/>
        <v>554.10908505876</v>
      </c>
      <c r="AE588">
        <f t="shared" si="495"/>
        <v>-6.510536008156406E-3</v>
      </c>
      <c r="AF588">
        <f t="shared" si="496"/>
        <v>3.0795587615331004E-2</v>
      </c>
      <c r="AG588">
        <f t="shared" si="473"/>
        <v>17216.768273281203</v>
      </c>
      <c r="AH588">
        <f t="shared" si="474"/>
        <v>-3672.2919919534884</v>
      </c>
      <c r="AJ588">
        <f t="shared" si="497"/>
        <v>18000</v>
      </c>
      <c r="AK588">
        <f t="shared" si="498"/>
        <v>1256262.5821561199</v>
      </c>
      <c r="AL588">
        <v>1</v>
      </c>
      <c r="AM588">
        <f t="shared" si="499"/>
        <v>767.71602242873996</v>
      </c>
      <c r="AN588">
        <f t="shared" si="475"/>
        <v>1636.3914000975833</v>
      </c>
      <c r="AO588">
        <f t="shared" si="476"/>
        <v>-21.314663393548361</v>
      </c>
      <c r="AQ588">
        <f t="shared" si="500"/>
        <v>7.1491887708263909E-4</v>
      </c>
      <c r="AR588">
        <f t="shared" si="501"/>
        <v>-2.6737966002890703</v>
      </c>
      <c r="AT588">
        <f t="shared" si="470"/>
        <v>-9806.6532507130887</v>
      </c>
      <c r="AU588">
        <f t="shared" si="471"/>
        <v>-46036.761867931215</v>
      </c>
      <c r="AV588">
        <f t="shared" si="511"/>
        <v>-1.7806771689807268</v>
      </c>
      <c r="AW588">
        <f t="shared" si="512"/>
        <v>40258.871582766413</v>
      </c>
      <c r="AX588">
        <f t="shared" si="513"/>
        <v>-12939.766544970294</v>
      </c>
      <c r="AY588">
        <f t="shared" si="521"/>
        <v>-0.31098510950100761</v>
      </c>
      <c r="BA588">
        <f t="shared" si="502"/>
        <v>1.1130928100557109</v>
      </c>
      <c r="BB588">
        <f t="shared" si="514"/>
        <v>0.93062754931074121</v>
      </c>
      <c r="BC588">
        <f t="shared" si="515"/>
        <v>-1.4696920594797191</v>
      </c>
      <c r="BD588">
        <f t="shared" si="503"/>
        <v>-264.20715228829852</v>
      </c>
      <c r="BF588">
        <f t="shared" si="504"/>
        <v>-50.971099175739965</v>
      </c>
      <c r="BG588">
        <f t="shared" si="505"/>
        <v>-174.67125752859243</v>
      </c>
      <c r="BH588">
        <f t="shared" si="516"/>
        <v>5.3287424714075655</v>
      </c>
      <c r="BI588">
        <f t="shared" si="517"/>
        <v>5.3287424714075655</v>
      </c>
      <c r="BJ588">
        <f t="shared" si="506"/>
        <v>0</v>
      </c>
      <c r="BK588">
        <f t="shared" si="518"/>
        <v>0</v>
      </c>
      <c r="BM588">
        <f t="shared" si="519"/>
        <v>-51.901726725050708</v>
      </c>
      <c r="BN588">
        <f t="shared" si="507"/>
        <v>-90.464105240293918</v>
      </c>
      <c r="BQ588" s="66">
        <f t="shared" si="520"/>
        <v>17.832588349595877</v>
      </c>
    </row>
    <row r="589" spans="1:69" x14ac:dyDescent="0.2">
      <c r="A589">
        <f t="shared" si="472"/>
        <v>1875000</v>
      </c>
      <c r="B589">
        <f t="shared" si="508"/>
        <v>1875</v>
      </c>
      <c r="C589">
        <f t="shared" si="477"/>
        <v>116.63591405430378</v>
      </c>
      <c r="D589">
        <f t="shared" si="478"/>
        <v>1.5622225332093673</v>
      </c>
      <c r="F589">
        <f t="shared" si="479"/>
        <v>1.4482060364366563E-6</v>
      </c>
      <c r="G589">
        <f t="shared" si="480"/>
        <v>4.9522659588177554E-4</v>
      </c>
      <c r="H589">
        <f t="shared" si="481"/>
        <v>-3.1410974234041182</v>
      </c>
      <c r="J589">
        <f t="shared" si="482"/>
        <v>15</v>
      </c>
      <c r="M589">
        <f t="shared" si="483"/>
        <v>1.7991995509065682E-3</v>
      </c>
      <c r="N589">
        <f t="shared" si="484"/>
        <v>-1.5707963250000001</v>
      </c>
      <c r="O589">
        <f t="shared" si="485"/>
        <v>555.59156009490539</v>
      </c>
      <c r="P589">
        <f t="shared" si="486"/>
        <v>1.5689964424702321</v>
      </c>
      <c r="Q589">
        <f t="shared" si="487"/>
        <v>769.76938861170925</v>
      </c>
      <c r="R589">
        <f t="shared" si="488"/>
        <v>1.569497236059324</v>
      </c>
      <c r="S589">
        <f t="shared" si="489"/>
        <v>1.4288547313325614E-2</v>
      </c>
      <c r="T589">
        <f t="shared" si="490"/>
        <v>-1.5565072932391062</v>
      </c>
      <c r="U589">
        <f t="shared" si="491"/>
        <v>0.97826283277290815</v>
      </c>
      <c r="V589">
        <f t="shared" si="492"/>
        <v>-0.20888455024738023</v>
      </c>
      <c r="X589">
        <f t="shared" si="509"/>
        <v>-31.292136982355373</v>
      </c>
      <c r="Y589">
        <f t="shared" si="493"/>
        <v>-101.78992761117601</v>
      </c>
      <c r="Z589">
        <f t="shared" si="510"/>
        <v>78.210072388823988</v>
      </c>
      <c r="AC589">
        <v>1</v>
      </c>
      <c r="AD589">
        <f t="shared" si="494"/>
        <v>555.59066015250016</v>
      </c>
      <c r="AE589">
        <f t="shared" si="495"/>
        <v>-6.5453982537890315E-3</v>
      </c>
      <c r="AF589">
        <f t="shared" si="496"/>
        <v>3.0877928758687497E-2</v>
      </c>
      <c r="AG589">
        <f t="shared" si="473"/>
        <v>17212.82499111602</v>
      </c>
      <c r="AH589">
        <f t="shared" si="474"/>
        <v>-3681.1016544510758</v>
      </c>
      <c r="AJ589">
        <f t="shared" si="497"/>
        <v>18000</v>
      </c>
      <c r="AK589">
        <f t="shared" si="498"/>
        <v>1259621.5730174999</v>
      </c>
      <c r="AL589">
        <v>1</v>
      </c>
      <c r="AM589">
        <f t="shared" si="499"/>
        <v>769.76873906624996</v>
      </c>
      <c r="AN589">
        <f t="shared" si="475"/>
        <v>1636.391252222016</v>
      </c>
      <c r="AO589">
        <f t="shared" si="476"/>
        <v>-21.257824483269456</v>
      </c>
      <c r="AQ589">
        <f t="shared" si="500"/>
        <v>7.1111106054321351E-4</v>
      </c>
      <c r="AR589">
        <f t="shared" si="501"/>
        <v>-2.6666664770370505</v>
      </c>
      <c r="AT589">
        <f t="shared" si="470"/>
        <v>-9804.0301502559305</v>
      </c>
      <c r="AU589">
        <f t="shared" si="471"/>
        <v>-45903.481051016119</v>
      </c>
      <c r="AV589">
        <f t="shared" si="511"/>
        <v>-1.7812140947065958</v>
      </c>
      <c r="AW589">
        <f t="shared" si="512"/>
        <v>40250.310726524884</v>
      </c>
      <c r="AX589">
        <f t="shared" si="513"/>
        <v>-12947.051467785808</v>
      </c>
      <c r="AY589">
        <f t="shared" si="521"/>
        <v>-0.31121109742125341</v>
      </c>
      <c r="BA589">
        <f t="shared" si="502"/>
        <v>1.1101528308089768</v>
      </c>
      <c r="BB589">
        <f t="shared" si="514"/>
        <v>0.9076554137166819</v>
      </c>
      <c r="BC589">
        <f t="shared" si="515"/>
        <v>-1.4700029972853423</v>
      </c>
      <c r="BD589">
        <f t="shared" si="503"/>
        <v>-264.22496771227219</v>
      </c>
      <c r="BF589">
        <f t="shared" si="504"/>
        <v>-51.017266393560604</v>
      </c>
      <c r="BG589">
        <f t="shared" si="505"/>
        <v>-174.68783540298156</v>
      </c>
      <c r="BH589">
        <f t="shared" si="516"/>
        <v>5.3121645970184375</v>
      </c>
      <c r="BI589">
        <f t="shared" si="517"/>
        <v>5.3121645970184375</v>
      </c>
      <c r="BJ589">
        <f t="shared" si="506"/>
        <v>0</v>
      </c>
      <c r="BK589">
        <f t="shared" si="518"/>
        <v>0</v>
      </c>
      <c r="BM589">
        <f t="shared" si="519"/>
        <v>-51.924921807277286</v>
      </c>
      <c r="BN589">
        <f t="shared" si="507"/>
        <v>-90.462867690709402</v>
      </c>
      <c r="BQ589" s="66">
        <f t="shared" si="520"/>
        <v>17.809616214001817</v>
      </c>
    </row>
    <row r="590" spans="1:69" x14ac:dyDescent="0.2">
      <c r="A590">
        <f t="shared" si="472"/>
        <v>1880000</v>
      </c>
      <c r="B590">
        <f t="shared" si="508"/>
        <v>1880</v>
      </c>
      <c r="C590">
        <f t="shared" si="477"/>
        <v>116.94692032568005</v>
      </c>
      <c r="D590">
        <f t="shared" si="478"/>
        <v>1.5622453347388716</v>
      </c>
      <c r="F590">
        <f t="shared" si="479"/>
        <v>1.4405130462495752E-6</v>
      </c>
      <c r="G590">
        <f t="shared" si="480"/>
        <v>4.9390950025410035E-4</v>
      </c>
      <c r="H590">
        <f t="shared" si="481"/>
        <v>-3.1410987404997459</v>
      </c>
      <c r="J590">
        <f t="shared" si="482"/>
        <v>15</v>
      </c>
      <c r="M590">
        <f t="shared" si="483"/>
        <v>1.7944144457179866E-3</v>
      </c>
      <c r="N590">
        <f t="shared" si="484"/>
        <v>-1.5707963250000001</v>
      </c>
      <c r="O590">
        <f t="shared" si="485"/>
        <v>557.07313279518542</v>
      </c>
      <c r="P590">
        <f t="shared" si="486"/>
        <v>1.56900122938633</v>
      </c>
      <c r="Q590">
        <f t="shared" si="487"/>
        <v>771.82210352170614</v>
      </c>
      <c r="R590">
        <f t="shared" si="488"/>
        <v>1.5695006910840044</v>
      </c>
      <c r="S590">
        <f t="shared" si="489"/>
        <v>1.4250553585262813E-2</v>
      </c>
      <c r="T590">
        <f t="shared" si="490"/>
        <v>-1.5565452908359048</v>
      </c>
      <c r="U590">
        <f t="shared" si="491"/>
        <v>0.97815052363228694</v>
      </c>
      <c r="V590">
        <f t="shared" si="492"/>
        <v>-0.20942545140917068</v>
      </c>
      <c r="X590">
        <f t="shared" si="509"/>
        <v>-31.316262925475982</v>
      </c>
      <c r="Y590">
        <f t="shared" si="493"/>
        <v>-101.82139287103651</v>
      </c>
      <c r="Z590">
        <f t="shared" si="510"/>
        <v>78.178607128963492</v>
      </c>
      <c r="AC590">
        <v>1</v>
      </c>
      <c r="AD590">
        <f t="shared" si="494"/>
        <v>557.0722352462401</v>
      </c>
      <c r="AE590">
        <f t="shared" si="495"/>
        <v>-6.5803535895301553E-3</v>
      </c>
      <c r="AF590">
        <f t="shared" si="496"/>
        <v>3.0960269902044001E-2</v>
      </c>
      <c r="AG590">
        <f t="shared" si="473"/>
        <v>17208.872992634824</v>
      </c>
      <c r="AH590">
        <f t="shared" si="474"/>
        <v>-3689.9054669194261</v>
      </c>
      <c r="AJ590">
        <f t="shared" si="497"/>
        <v>18000</v>
      </c>
      <c r="AK590">
        <f t="shared" si="498"/>
        <v>1262980.5638788799</v>
      </c>
      <c r="AL590">
        <v>1</v>
      </c>
      <c r="AM590">
        <f t="shared" si="499"/>
        <v>771.82145570375997</v>
      </c>
      <c r="AN590">
        <f t="shared" si="475"/>
        <v>1636.3911055247349</v>
      </c>
      <c r="AO590">
        <f t="shared" si="476"/>
        <v>-21.201287906093057</v>
      </c>
      <c r="AQ590">
        <f t="shared" si="500"/>
        <v>7.073335850969341E-4</v>
      </c>
      <c r="AR590">
        <f t="shared" si="501"/>
        <v>-2.6595742799644722</v>
      </c>
      <c r="AT590">
        <f t="shared" si="470"/>
        <v>-9801.4052614898446</v>
      </c>
      <c r="AU590">
        <f t="shared" si="471"/>
        <v>-45770.885992449403</v>
      </c>
      <c r="AV590">
        <f t="shared" si="511"/>
        <v>-1.7817509181720959</v>
      </c>
      <c r="AW590">
        <f t="shared" si="512"/>
        <v>40241.727914482617</v>
      </c>
      <c r="AX590">
        <f t="shared" si="513"/>
        <v>-12954.389775803404</v>
      </c>
      <c r="AY590">
        <f t="shared" si="521"/>
        <v>-0.31143850981177001</v>
      </c>
      <c r="BA590">
        <f t="shared" si="502"/>
        <v>1.1072282651465708</v>
      </c>
      <c r="BB590">
        <f t="shared" si="514"/>
        <v>0.88474327708931577</v>
      </c>
      <c r="BC590">
        <f t="shared" si="515"/>
        <v>-1.4703124083603258</v>
      </c>
      <c r="BD590">
        <f t="shared" si="503"/>
        <v>-264.24269566102362</v>
      </c>
      <c r="BF590">
        <f t="shared" si="504"/>
        <v>-51.06331183175233</v>
      </c>
      <c r="BG590">
        <f t="shared" si="505"/>
        <v>-174.70433238434524</v>
      </c>
      <c r="BH590">
        <f t="shared" si="516"/>
        <v>5.2956676156547644</v>
      </c>
      <c r="BI590">
        <f t="shared" si="517"/>
        <v>5.2956676156547644</v>
      </c>
      <c r="BJ590">
        <f t="shared" si="506"/>
        <v>0</v>
      </c>
      <c r="BK590">
        <f t="shared" si="518"/>
        <v>0</v>
      </c>
      <c r="BM590">
        <f t="shared" si="519"/>
        <v>-51.94805510884165</v>
      </c>
      <c r="BN590">
        <f t="shared" si="507"/>
        <v>-90.461636723321632</v>
      </c>
      <c r="BQ590" s="66">
        <f t="shared" si="520"/>
        <v>17.786704077374452</v>
      </c>
    </row>
    <row r="591" spans="1:69" x14ac:dyDescent="0.2">
      <c r="A591">
        <f t="shared" si="472"/>
        <v>1885000</v>
      </c>
      <c r="B591">
        <f t="shared" si="508"/>
        <v>1885</v>
      </c>
      <c r="C591">
        <f t="shared" si="477"/>
        <v>117.25792665753565</v>
      </c>
      <c r="D591">
        <f t="shared" si="478"/>
        <v>1.5622680153141759</v>
      </c>
      <c r="F591">
        <f t="shared" si="479"/>
        <v>1.4328811923728235E-6</v>
      </c>
      <c r="G591">
        <f t="shared" si="480"/>
        <v>4.9259939189980517E-4</v>
      </c>
      <c r="H591">
        <f t="shared" si="481"/>
        <v>-3.1411000506081006</v>
      </c>
      <c r="J591">
        <f t="shared" si="482"/>
        <v>15</v>
      </c>
      <c r="M591">
        <f t="shared" si="483"/>
        <v>1.7896547257028198E-3</v>
      </c>
      <c r="N591">
        <f t="shared" si="484"/>
        <v>-1.5707963250000001</v>
      </c>
      <c r="O591">
        <f t="shared" si="485"/>
        <v>558.55470550816278</v>
      </c>
      <c r="P591">
        <f t="shared" si="486"/>
        <v>1.5690059909077296</v>
      </c>
      <c r="Q591">
        <f t="shared" si="487"/>
        <v>773.87481844086756</v>
      </c>
      <c r="R591">
        <f t="shared" si="488"/>
        <v>1.569504127779672</v>
      </c>
      <c r="S591">
        <f t="shared" si="489"/>
        <v>1.421276135420345E-2</v>
      </c>
      <c r="T591">
        <f t="shared" si="490"/>
        <v>-1.5565830868947685</v>
      </c>
      <c r="U591">
        <f t="shared" si="491"/>
        <v>0.97803795422597462</v>
      </c>
      <c r="V591">
        <f t="shared" si="492"/>
        <v>-0.20996622823108529</v>
      </c>
      <c r="X591">
        <f t="shared" si="509"/>
        <v>-31.340329878625163</v>
      </c>
      <c r="Y591">
        <f t="shared" si="493"/>
        <v>-101.85284849448188</v>
      </c>
      <c r="Z591">
        <f t="shared" si="510"/>
        <v>78.147151505518124</v>
      </c>
      <c r="AC591">
        <v>1</v>
      </c>
      <c r="AD591">
        <f t="shared" si="494"/>
        <v>558.55381033998003</v>
      </c>
      <c r="AE591">
        <f t="shared" si="495"/>
        <v>-6.6154020153797784E-3</v>
      </c>
      <c r="AF591">
        <f t="shared" si="496"/>
        <v>3.1042611045400501E-2</v>
      </c>
      <c r="AG591">
        <f t="shared" si="473"/>
        <v>17204.912291087534</v>
      </c>
      <c r="AH591">
        <f t="shared" si="474"/>
        <v>-3698.7034137357127</v>
      </c>
      <c r="AJ591">
        <f t="shared" si="497"/>
        <v>18000</v>
      </c>
      <c r="AK591">
        <f t="shared" si="498"/>
        <v>1266339.5547402599</v>
      </c>
      <c r="AL591">
        <v>1</v>
      </c>
      <c r="AM591">
        <f t="shared" si="499"/>
        <v>773.87417234126997</v>
      </c>
      <c r="AN591">
        <f t="shared" si="475"/>
        <v>1636.3909599932547</v>
      </c>
      <c r="AO591">
        <f t="shared" si="476"/>
        <v>-21.145051256201601</v>
      </c>
      <c r="AQ591">
        <f t="shared" si="500"/>
        <v>7.0358612924975692E-4</v>
      </c>
      <c r="AR591">
        <f t="shared" si="501"/>
        <v>-2.6525197072715838</v>
      </c>
      <c r="AT591">
        <f t="shared" si="470"/>
        <v>-9798.778558643693</v>
      </c>
      <c r="AU591">
        <f t="shared" si="471"/>
        <v>-45638.971270406895</v>
      </c>
      <c r="AV591">
        <f t="shared" si="511"/>
        <v>-1.7822876389299798</v>
      </c>
      <c r="AW591">
        <f t="shared" si="512"/>
        <v>40233.123201562186</v>
      </c>
      <c r="AX591">
        <f t="shared" si="513"/>
        <v>-12961.780904488112</v>
      </c>
      <c r="AY591">
        <f t="shared" si="521"/>
        <v>-0.31166733421055093</v>
      </c>
      <c r="BA591">
        <f t="shared" si="502"/>
        <v>1.1043189927548527</v>
      </c>
      <c r="BB591">
        <f t="shared" si="514"/>
        <v>0.86189082986461218</v>
      </c>
      <c r="BC591">
        <f t="shared" si="515"/>
        <v>-1.4706203047194288</v>
      </c>
      <c r="BD591">
        <f t="shared" si="503"/>
        <v>-264.26033682294781</v>
      </c>
      <c r="BF591">
        <f t="shared" si="504"/>
        <v>-51.109236128138477</v>
      </c>
      <c r="BG591">
        <f t="shared" si="505"/>
        <v>-174.7207491087056</v>
      </c>
      <c r="BH591">
        <f t="shared" si="516"/>
        <v>5.2792508912943958</v>
      </c>
      <c r="BI591">
        <f t="shared" si="517"/>
        <v>5.2792508912943958</v>
      </c>
      <c r="BJ591">
        <f t="shared" si="506"/>
        <v>0</v>
      </c>
      <c r="BK591">
        <f t="shared" si="518"/>
        <v>0</v>
      </c>
      <c r="BM591">
        <f t="shared" si="519"/>
        <v>-51.971126958003076</v>
      </c>
      <c r="BN591">
        <f t="shared" si="507"/>
        <v>-90.460412285757798</v>
      </c>
      <c r="BQ591" s="66">
        <f t="shared" si="520"/>
        <v>17.763851630149748</v>
      </c>
    </row>
    <row r="592" spans="1:69" x14ac:dyDescent="0.2">
      <c r="A592">
        <f>A591+5000</f>
        <v>1890000</v>
      </c>
      <c r="B592">
        <f t="shared" si="508"/>
        <v>1890</v>
      </c>
      <c r="C592">
        <f t="shared" si="477"/>
        <v>117.56893304939061</v>
      </c>
      <c r="D592">
        <f t="shared" si="478"/>
        <v>1.5622905758951409</v>
      </c>
      <c r="F592">
        <f t="shared" si="479"/>
        <v>1.4253098287164027E-6</v>
      </c>
      <c r="G592">
        <f t="shared" si="480"/>
        <v>4.9129621536403716E-4</v>
      </c>
      <c r="H592">
        <f t="shared" si="481"/>
        <v>-3.1411013537846362</v>
      </c>
      <c r="J592">
        <f t="shared" si="482"/>
        <v>15</v>
      </c>
      <c r="M592">
        <f t="shared" si="483"/>
        <v>1.7849201893914367E-3</v>
      </c>
      <c r="N592">
        <f t="shared" si="484"/>
        <v>-1.5707963250000001</v>
      </c>
      <c r="O592">
        <f t="shared" si="485"/>
        <v>560.03627823373677</v>
      </c>
      <c r="P592">
        <f t="shared" si="486"/>
        <v>1.5690107272359746</v>
      </c>
      <c r="Q592">
        <f t="shared" si="487"/>
        <v>775.92753336912085</v>
      </c>
      <c r="R592">
        <f t="shared" si="488"/>
        <v>1.5695075462917949</v>
      </c>
      <c r="S592">
        <f t="shared" si="489"/>
        <v>1.4175169021610212E-2</v>
      </c>
      <c r="T592">
        <f t="shared" si="490"/>
        <v>-1.5566206830147744</v>
      </c>
      <c r="U592">
        <f t="shared" si="491"/>
        <v>0.97792512484130223</v>
      </c>
      <c r="V592">
        <f t="shared" si="492"/>
        <v>-0.21050688043981328</v>
      </c>
      <c r="X592">
        <f t="shared" si="509"/>
        <v>-31.364338165339266</v>
      </c>
      <c r="Y592">
        <f t="shared" si="493"/>
        <v>-101.88429448577187</v>
      </c>
      <c r="Z592">
        <f t="shared" si="510"/>
        <v>78.115705514228125</v>
      </c>
      <c r="AC592">
        <v>1</v>
      </c>
      <c r="AD592">
        <f t="shared" si="494"/>
        <v>560.03538543372008</v>
      </c>
      <c r="AE592">
        <f t="shared" si="495"/>
        <v>-6.6505435313378991E-3</v>
      </c>
      <c r="AF592">
        <f t="shared" si="496"/>
        <v>3.1124952188757004E-2</v>
      </c>
      <c r="AG592">
        <f t="shared" si="473"/>
        <v>17200.942899743768</v>
      </c>
      <c r="AH592">
        <f t="shared" si="474"/>
        <v>-3707.4954793500647</v>
      </c>
      <c r="AJ592">
        <f t="shared" si="497"/>
        <v>18000</v>
      </c>
      <c r="AK592">
        <f t="shared" si="498"/>
        <v>1269698.5456016399</v>
      </c>
      <c r="AL592">
        <v>1</v>
      </c>
      <c r="AM592">
        <f t="shared" si="499"/>
        <v>775.92688897877997</v>
      </c>
      <c r="AN592">
        <f t="shared" si="475"/>
        <v>1636.3908156152547</v>
      </c>
      <c r="AO592">
        <f t="shared" si="476"/>
        <v>-21.089112153235682</v>
      </c>
      <c r="AQ592">
        <f t="shared" si="500"/>
        <v>6.9986837575457185E-4</v>
      </c>
      <c r="AR592">
        <f t="shared" si="501"/>
        <v>-2.6455024603522816</v>
      </c>
      <c r="AT592">
        <f t="shared" si="470"/>
        <v>-9796.1500163968667</v>
      </c>
      <c r="AU592">
        <f t="shared" si="471"/>
        <v>-45507.731520490503</v>
      </c>
      <c r="AV592">
        <f t="shared" si="511"/>
        <v>-1.7828242565352532</v>
      </c>
      <c r="AW592">
        <f t="shared" si="512"/>
        <v>40224.49664239811</v>
      </c>
      <c r="AX592">
        <f t="shared" si="513"/>
        <v>-12969.224295071908</v>
      </c>
      <c r="AY592">
        <f t="shared" si="521"/>
        <v>-0.31189755828323512</v>
      </c>
      <c r="BA592">
        <f t="shared" si="502"/>
        <v>1.101424894562925</v>
      </c>
      <c r="BB592">
        <f t="shared" si="514"/>
        <v>0.83909776484325316</v>
      </c>
      <c r="BC592">
        <f t="shared" si="515"/>
        <v>-1.4709266982520182</v>
      </c>
      <c r="BD592">
        <f t="shared" si="503"/>
        <v>-264.27789187925532</v>
      </c>
      <c r="BF592">
        <f t="shared" si="504"/>
        <v>-51.155039915568146</v>
      </c>
      <c r="BG592">
        <f t="shared" si="505"/>
        <v>-174.73708620545452</v>
      </c>
      <c r="BH592">
        <f t="shared" si="516"/>
        <v>5.2629137945454829</v>
      </c>
      <c r="BI592">
        <f t="shared" si="517"/>
        <v>5.2629137945454829</v>
      </c>
      <c r="BJ592">
        <f t="shared" si="506"/>
        <v>0</v>
      </c>
      <c r="BK592">
        <f t="shared" si="518"/>
        <v>0</v>
      </c>
      <c r="BM592">
        <f t="shared" si="519"/>
        <v>-51.994137680411399</v>
      </c>
      <c r="BN592">
        <f t="shared" si="507"/>
        <v>-90.45919432619921</v>
      </c>
      <c r="BQ592" s="66">
        <f t="shared" si="520"/>
        <v>17.741058565128391</v>
      </c>
    </row>
    <row r="593" spans="1:69" x14ac:dyDescent="0.2">
      <c r="A593">
        <f t="shared" ref="A593:A598" si="522">A592+5000</f>
        <v>1895000</v>
      </c>
      <c r="B593">
        <f t="shared" si="508"/>
        <v>1895</v>
      </c>
      <c r="C593">
        <f t="shared" si="477"/>
        <v>117.87993950077001</v>
      </c>
      <c r="D593">
        <f t="shared" si="478"/>
        <v>1.5623130174314988</v>
      </c>
      <c r="F593">
        <f t="shared" si="479"/>
        <v>1.4177983177026917E-6</v>
      </c>
      <c r="G593">
        <f t="shared" si="480"/>
        <v>4.8999991577722312E-4</v>
      </c>
      <c r="H593">
        <f t="shared" si="481"/>
        <v>-3.141102650084223</v>
      </c>
      <c r="J593">
        <f t="shared" si="482"/>
        <v>15</v>
      </c>
      <c r="M593">
        <f t="shared" si="483"/>
        <v>1.7802106374405359E-3</v>
      </c>
      <c r="N593">
        <f t="shared" si="484"/>
        <v>-1.5707963250000001</v>
      </c>
      <c r="O593">
        <f t="shared" si="485"/>
        <v>561.51785097180755</v>
      </c>
      <c r="P593">
        <f t="shared" si="486"/>
        <v>1.5690154385704824</v>
      </c>
      <c r="Q593">
        <f t="shared" si="487"/>
        <v>777.98024830639383</v>
      </c>
      <c r="R593">
        <f t="shared" si="488"/>
        <v>1.569510946764306</v>
      </c>
      <c r="S593">
        <f t="shared" si="489"/>
        <v>1.4137775005808425E-2</v>
      </c>
      <c r="T593">
        <f t="shared" si="490"/>
        <v>-1.5566580807781287</v>
      </c>
      <c r="U593">
        <f t="shared" si="491"/>
        <v>0.97781203576608422</v>
      </c>
      <c r="V593">
        <f t="shared" si="492"/>
        <v>-0.21104740776246125</v>
      </c>
      <c r="X593">
        <f t="shared" si="509"/>
        <v>-31.388288106574585</v>
      </c>
      <c r="Y593">
        <f t="shared" si="493"/>
        <v>-101.91573084898026</v>
      </c>
      <c r="Z593">
        <f t="shared" si="510"/>
        <v>78.08426915101974</v>
      </c>
      <c r="AC593">
        <v>1</v>
      </c>
      <c r="AD593">
        <f t="shared" si="494"/>
        <v>561.51696052746001</v>
      </c>
      <c r="AE593">
        <f t="shared" si="495"/>
        <v>-6.6857781374045182E-3</v>
      </c>
      <c r="AF593">
        <f t="shared" si="496"/>
        <v>3.12072933321135E-2</v>
      </c>
      <c r="AG593">
        <f t="shared" si="473"/>
        <v>17196.964831892779</v>
      </c>
      <c r="AH593">
        <f t="shared" si="474"/>
        <v>-3716.2816482850917</v>
      </c>
      <c r="AJ593">
        <f t="shared" si="497"/>
        <v>18000</v>
      </c>
      <c r="AK593">
        <f t="shared" si="498"/>
        <v>1273057.5364630199</v>
      </c>
      <c r="AL593">
        <v>1</v>
      </c>
      <c r="AM593">
        <f t="shared" si="499"/>
        <v>777.97960561628997</v>
      </c>
      <c r="AN593">
        <f t="shared" si="475"/>
        <v>1636.3906723785781</v>
      </c>
      <c r="AO593">
        <f t="shared" si="476"/>
        <v>-21.033468241958229</v>
      </c>
      <c r="AQ593">
        <f t="shared" si="500"/>
        <v>6.9618001154405696E-4</v>
      </c>
      <c r="AR593">
        <f t="shared" si="501"/>
        <v>-2.638522243751976</v>
      </c>
      <c r="AT593">
        <f t="shared" si="470"/>
        <v>-9793.5196098722809</v>
      </c>
      <c r="AU593">
        <f t="shared" si="471"/>
        <v>-45377.16143497036</v>
      </c>
      <c r="AV593">
        <f t="shared" si="511"/>
        <v>-1.7833607705451506</v>
      </c>
      <c r="AW593">
        <f t="shared" si="512"/>
        <v>40215.848291341965</v>
      </c>
      <c r="AX593">
        <f t="shared" si="513"/>
        <v>-12976.71939447871</v>
      </c>
      <c r="AY593">
        <f t="shared" si="521"/>
        <v>-0.31212916982145517</v>
      </c>
      <c r="BA593">
        <f t="shared" si="502"/>
        <v>1.0985458527267118</v>
      </c>
      <c r="BB593">
        <f t="shared" si="514"/>
        <v>0.81636377716688735</v>
      </c>
      <c r="BC593">
        <f t="shared" si="515"/>
        <v>-1.4712316007236954</v>
      </c>
      <c r="BD593">
        <f t="shared" si="503"/>
        <v>-264.29536150406551</v>
      </c>
      <c r="BF593">
        <f t="shared" si="504"/>
        <v>-51.200723821967635</v>
      </c>
      <c r="BG593">
        <f t="shared" si="505"/>
        <v>-174.75334429743953</v>
      </c>
      <c r="BH593">
        <f t="shared" si="516"/>
        <v>5.2466557025604743</v>
      </c>
      <c r="BI593">
        <f t="shared" si="517"/>
        <v>5.2466557025604743</v>
      </c>
      <c r="BJ593">
        <f t="shared" si="506"/>
        <v>0</v>
      </c>
      <c r="BK593">
        <f t="shared" si="518"/>
        <v>0</v>
      </c>
      <c r="BM593">
        <f t="shared" si="519"/>
        <v>-52.01708759913452</v>
      </c>
      <c r="BN593">
        <f t="shared" si="507"/>
        <v>-90.457982793374029</v>
      </c>
      <c r="BQ593" s="66">
        <f t="shared" si="520"/>
        <v>17.718324577452023</v>
      </c>
    </row>
    <row r="594" spans="1:69" x14ac:dyDescent="0.2">
      <c r="A594">
        <f t="shared" si="522"/>
        <v>1900000</v>
      </c>
      <c r="B594">
        <f t="shared" si="508"/>
        <v>1900</v>
      </c>
      <c r="C594">
        <f t="shared" si="477"/>
        <v>118.19094601120398</v>
      </c>
      <c r="D594">
        <f t="shared" si="478"/>
        <v>1.5623353408629848</v>
      </c>
      <c r="F594">
        <f t="shared" si="479"/>
        <v>1.4103460301322176E-6</v>
      </c>
      <c r="G594">
        <f t="shared" si="480"/>
        <v>4.887104388473679E-4</v>
      </c>
      <c r="H594">
        <f t="shared" si="481"/>
        <v>-3.1411039395611526</v>
      </c>
      <c r="J594">
        <f t="shared" si="482"/>
        <v>15</v>
      </c>
      <c r="M594">
        <f t="shared" si="483"/>
        <v>1.7755258726051659E-3</v>
      </c>
      <c r="N594">
        <f t="shared" si="484"/>
        <v>-1.5707963250000001</v>
      </c>
      <c r="O594">
        <f t="shared" si="485"/>
        <v>562.99942372227667</v>
      </c>
      <c r="P594">
        <f t="shared" si="486"/>
        <v>1.5690201251085714</v>
      </c>
      <c r="Q594">
        <f t="shared" si="487"/>
        <v>780.03296325261556</v>
      </c>
      <c r="R594">
        <f t="shared" si="488"/>
        <v>1.5695143293396228</v>
      </c>
      <c r="S594">
        <f t="shared" si="489"/>
        <v>1.4100577741764308E-2</v>
      </c>
      <c r="T594">
        <f t="shared" si="490"/>
        <v>-1.5566952817503878</v>
      </c>
      <c r="U594">
        <f t="shared" si="491"/>
        <v>0.97769868728861631</v>
      </c>
      <c r="V594">
        <f t="shared" si="492"/>
        <v>-0.21158780992655368</v>
      </c>
      <c r="X594">
        <f t="shared" si="509"/>
        <v>-31.41218002073451</v>
      </c>
      <c r="Y594">
        <f t="shared" si="493"/>
        <v>-101.94715758799751</v>
      </c>
      <c r="Z594">
        <f t="shared" si="510"/>
        <v>78.052842412002491</v>
      </c>
      <c r="AC594">
        <v>1</v>
      </c>
      <c r="AD594">
        <f t="shared" si="494"/>
        <v>562.99853562120006</v>
      </c>
      <c r="AE594">
        <f t="shared" si="495"/>
        <v>-6.7211058335796348E-3</v>
      </c>
      <c r="AF594">
        <f t="shared" si="496"/>
        <v>3.128963447547E-2</v>
      </c>
      <c r="AG594">
        <f t="shared" si="473"/>
        <v>17192.978100843364</v>
      </c>
      <c r="AH594">
        <f t="shared" si="474"/>
        <v>-3725.0619051354215</v>
      </c>
      <c r="AJ594">
        <f t="shared" si="497"/>
        <v>18000</v>
      </c>
      <c r="AK594">
        <f t="shared" si="498"/>
        <v>1276416.5273243999</v>
      </c>
      <c r="AL594">
        <v>1</v>
      </c>
      <c r="AM594">
        <f t="shared" si="499"/>
        <v>780.03232225379998</v>
      </c>
      <c r="AN594">
        <f t="shared" si="475"/>
        <v>1636.3905302712265</v>
      </c>
      <c r="AO594">
        <f t="shared" si="476"/>
        <v>-20.978117191923914</v>
      </c>
      <c r="AQ594">
        <f t="shared" si="500"/>
        <v>6.9252072766476955E-4</v>
      </c>
      <c r="AR594">
        <f t="shared" si="501"/>
        <v>-2.6315787651261244</v>
      </c>
      <c r="AT594">
        <f t="shared" si="470"/>
        <v>-9790.8873146295209</v>
      </c>
      <c r="AU594">
        <f t="shared" si="471"/>
        <v>-45247.255762039022</v>
      </c>
      <c r="AV594">
        <f t="shared" si="511"/>
        <v>-1.7838971805191133</v>
      </c>
      <c r="AW594">
        <f t="shared" si="512"/>
        <v>40207.178202467359</v>
      </c>
      <c r="AX594">
        <f t="shared" si="513"/>
        <v>-12984.265655250587</v>
      </c>
      <c r="AY594">
        <f t="shared" si="521"/>
        <v>-0.31236215674121293</v>
      </c>
      <c r="BA594">
        <f t="shared" si="502"/>
        <v>1.0956817506132772</v>
      </c>
      <c r="BB594">
        <f t="shared" si="514"/>
        <v>0.79368856429465784</v>
      </c>
      <c r="BC594">
        <f t="shared" si="515"/>
        <v>-1.4715350237779004</v>
      </c>
      <c r="BD594">
        <f t="shared" si="503"/>
        <v>-264.31274636449825</v>
      </c>
      <c r="BF594">
        <f t="shared" si="504"/>
        <v>-51.24628847039105</v>
      </c>
      <c r="BG594">
        <f t="shared" si="505"/>
        <v>-174.76952400104841</v>
      </c>
      <c r="BH594">
        <f t="shared" si="516"/>
        <v>5.2304759989515901</v>
      </c>
      <c r="BI594">
        <f t="shared" si="517"/>
        <v>5.2304759989515901</v>
      </c>
      <c r="BJ594">
        <f t="shared" si="506"/>
        <v>0</v>
      </c>
      <c r="BK594">
        <f t="shared" si="518"/>
        <v>0</v>
      </c>
      <c r="BM594">
        <f t="shared" si="519"/>
        <v>-52.03997703468572</v>
      </c>
      <c r="BN594">
        <f t="shared" si="507"/>
        <v>-90.4567776365501</v>
      </c>
      <c r="BQ594" s="66">
        <f t="shared" si="520"/>
        <v>17.695649364579793</v>
      </c>
    </row>
    <row r="595" spans="1:69" x14ac:dyDescent="0.2">
      <c r="A595">
        <f t="shared" si="522"/>
        <v>1905000</v>
      </c>
      <c r="B595">
        <f t="shared" si="508"/>
        <v>1905</v>
      </c>
      <c r="C595">
        <f t="shared" si="477"/>
        <v>118.50195258022754</v>
      </c>
      <c r="D595">
        <f t="shared" si="478"/>
        <v>1.5623575471194704</v>
      </c>
      <c r="F595">
        <f t="shared" si="479"/>
        <v>1.4029523450518892E-6</v>
      </c>
      <c r="G595">
        <f t="shared" si="480"/>
        <v>4.8742773085247491E-4</v>
      </c>
      <c r="H595">
        <f t="shared" si="481"/>
        <v>-3.1411052222691476</v>
      </c>
      <c r="J595">
        <f t="shared" si="482"/>
        <v>15</v>
      </c>
      <c r="M595">
        <f t="shared" si="483"/>
        <v>1.7708656997111891E-3</v>
      </c>
      <c r="N595">
        <f t="shared" si="484"/>
        <v>-1.5707963250000001</v>
      </c>
      <c r="O595">
        <f t="shared" si="485"/>
        <v>564.48099648504649</v>
      </c>
      <c r="P595">
        <f t="shared" si="486"/>
        <v>1.5690247870454881</v>
      </c>
      <c r="Q595">
        <f t="shared" si="487"/>
        <v>782.08567820771532</v>
      </c>
      <c r="R595">
        <f t="shared" si="488"/>
        <v>1.5695176941586677</v>
      </c>
      <c r="S595">
        <f t="shared" si="489"/>
        <v>1.40635756808667E-2</v>
      </c>
      <c r="T595">
        <f t="shared" si="490"/>
        <v>-1.5567322874806782</v>
      </c>
      <c r="U595">
        <f t="shared" si="491"/>
        <v>0.97758507969767328</v>
      </c>
      <c r="V595">
        <f t="shared" si="492"/>
        <v>-0.21212808666003374</v>
      </c>
      <c r="X595">
        <f t="shared" si="509"/>
        <v>-31.436014223696318</v>
      </c>
      <c r="Y595">
        <f t="shared" si="493"/>
        <v>-101.97857470653364</v>
      </c>
      <c r="Z595">
        <f t="shared" si="510"/>
        <v>78.021425293466365</v>
      </c>
      <c r="AC595">
        <v>1</v>
      </c>
      <c r="AD595">
        <f t="shared" si="494"/>
        <v>564.48011071494011</v>
      </c>
      <c r="AE595">
        <f t="shared" si="495"/>
        <v>-6.7565266198632507E-3</v>
      </c>
      <c r="AF595">
        <f t="shared" si="496"/>
        <v>3.13719756188265E-2</v>
      </c>
      <c r="AG595">
        <f t="shared" si="473"/>
        <v>17188.982719923712</v>
      </c>
      <c r="AH595">
        <f t="shared" si="474"/>
        <v>-3733.8362345672267</v>
      </c>
      <c r="AJ595">
        <f t="shared" si="497"/>
        <v>18000</v>
      </c>
      <c r="AK595">
        <f t="shared" si="498"/>
        <v>1279775.5181857799</v>
      </c>
      <c r="AL595">
        <v>1</v>
      </c>
      <c r="AM595">
        <f t="shared" si="499"/>
        <v>782.08503889130998</v>
      </c>
      <c r="AN595">
        <f t="shared" si="475"/>
        <v>1636.3903892813582</v>
      </c>
      <c r="AO595">
        <f t="shared" si="476"/>
        <v>-20.923056697153836</v>
      </c>
      <c r="AQ595">
        <f t="shared" si="500"/>
        <v>6.8889021921244556E-4</v>
      </c>
      <c r="AR595">
        <f t="shared" si="501"/>
        <v>-2.6246717351994175</v>
      </c>
      <c r="AT595">
        <f t="shared" si="470"/>
        <v>-9788.2531066580541</v>
      </c>
      <c r="AU595">
        <f t="shared" si="471"/>
        <v>-45118.009305077103</v>
      </c>
      <c r="AV595">
        <f t="shared" si="511"/>
        <v>-1.7844334860187647</v>
      </c>
      <c r="AW595">
        <f t="shared" si="512"/>
        <v>40198.486429574587</v>
      </c>
      <c r="AX595">
        <f t="shared" si="513"/>
        <v>-12991.862535475047</v>
      </c>
      <c r="AY595">
        <f t="shared" si="521"/>
        <v>-0.31259650708127917</v>
      </c>
      <c r="BA595">
        <f t="shared" si="502"/>
        <v>1.0928324727853851</v>
      </c>
      <c r="BB595">
        <f t="shared" si="514"/>
        <v>0.77107182598003621</v>
      </c>
      <c r="BC595">
        <f t="shared" si="515"/>
        <v>-1.4718369789374854</v>
      </c>
      <c r="BD595">
        <f t="shared" si="503"/>
        <v>-264.3300471207645</v>
      </c>
      <c r="BF595">
        <f t="shared" si="504"/>
        <v>-51.291734479070399</v>
      </c>
      <c r="BG595">
        <f t="shared" si="505"/>
        <v>-174.78562592629228</v>
      </c>
      <c r="BH595">
        <f t="shared" si="516"/>
        <v>5.2143740737077167</v>
      </c>
      <c r="BI595">
        <f t="shared" si="517"/>
        <v>5.2143740737077167</v>
      </c>
      <c r="BJ595">
        <f t="shared" si="506"/>
        <v>0</v>
      </c>
      <c r="BK595">
        <f t="shared" si="518"/>
        <v>0</v>
      </c>
      <c r="BM595">
        <f t="shared" si="519"/>
        <v>-52.06280630505043</v>
      </c>
      <c r="BN595">
        <f t="shared" si="507"/>
        <v>-90.455578805527793</v>
      </c>
      <c r="BQ595" s="66">
        <f t="shared" si="520"/>
        <v>17.673032626265172</v>
      </c>
    </row>
    <row r="596" spans="1:69" x14ac:dyDescent="0.2">
      <c r="A596">
        <f t="shared" si="522"/>
        <v>1910000</v>
      </c>
      <c r="B596">
        <f t="shared" si="508"/>
        <v>1910</v>
      </c>
      <c r="C596">
        <f t="shared" si="477"/>
        <v>118.81295920738059</v>
      </c>
      <c r="D596">
        <f t="shared" si="478"/>
        <v>1.5623796371210907</v>
      </c>
      <c r="F596">
        <f t="shared" si="479"/>
        <v>1.3956166496256429E-6</v>
      </c>
      <c r="G596">
        <f t="shared" si="480"/>
        <v>4.8615173863308556E-4</v>
      </c>
      <c r="H596">
        <f t="shared" si="481"/>
        <v>-3.141106498261367</v>
      </c>
      <c r="J596">
        <f t="shared" si="482"/>
        <v>15</v>
      </c>
      <c r="M596">
        <f t="shared" si="483"/>
        <v>1.7662299256281757E-3</v>
      </c>
      <c r="N596">
        <f t="shared" si="484"/>
        <v>-1.5707963250000001</v>
      </c>
      <c r="O596">
        <f t="shared" si="485"/>
        <v>565.96256926002013</v>
      </c>
      <c r="P596">
        <f t="shared" si="486"/>
        <v>1.5690294245744343</v>
      </c>
      <c r="Q596">
        <f t="shared" si="487"/>
        <v>784.13839317162353</v>
      </c>
      <c r="R596">
        <f t="shared" si="488"/>
        <v>1.5695210413608878</v>
      </c>
      <c r="S596">
        <f t="shared" si="489"/>
        <v>1.4026767290712257E-2</v>
      </c>
      <c r="T596">
        <f t="shared" si="490"/>
        <v>-1.5567690995019092</v>
      </c>
      <c r="U596">
        <f t="shared" si="491"/>
        <v>0.97747121328250752</v>
      </c>
      <c r="V596">
        <f t="shared" si="492"/>
        <v>-0.2126682376912637</v>
      </c>
      <c r="X596">
        <f t="shared" si="509"/>
        <v>-31.459791028837643</v>
      </c>
      <c r="Y596">
        <f t="shared" si="493"/>
        <v>-102.00998220812073</v>
      </c>
      <c r="Z596">
        <f t="shared" si="510"/>
        <v>77.990017791879268</v>
      </c>
      <c r="AC596">
        <v>1</v>
      </c>
      <c r="AD596">
        <f t="shared" si="494"/>
        <v>565.96168580868004</v>
      </c>
      <c r="AE596">
        <f t="shared" si="495"/>
        <v>-6.792040496255365E-3</v>
      </c>
      <c r="AF596">
        <f t="shared" si="496"/>
        <v>3.1454316762183E-2</v>
      </c>
      <c r="AG596">
        <f t="shared" si="473"/>
        <v>17184.978702481352</v>
      </c>
      <c r="AH596">
        <f t="shared" si="474"/>
        <v>-3742.6046213177779</v>
      </c>
      <c r="AJ596">
        <f t="shared" si="497"/>
        <v>18000</v>
      </c>
      <c r="AK596">
        <f t="shared" si="498"/>
        <v>1283134.5090471599</v>
      </c>
      <c r="AL596">
        <v>1</v>
      </c>
      <c r="AM596">
        <f t="shared" si="499"/>
        <v>784.13775552881998</v>
      </c>
      <c r="AN596">
        <f t="shared" si="475"/>
        <v>1636.3902493972885</v>
      </c>
      <c r="AO596">
        <f t="shared" si="476"/>
        <v>-20.86828447581528</v>
      </c>
      <c r="AQ596">
        <f t="shared" si="500"/>
        <v>6.8528818526848322E-4</v>
      </c>
      <c r="AR596">
        <f t="shared" si="501"/>
        <v>-2.6178008677256059</v>
      </c>
      <c r="AT596">
        <f t="shared" si="470"/>
        <v>-9785.616962370641</v>
      </c>
      <c r="AU596">
        <f t="shared" si="471"/>
        <v>-44989.416921930861</v>
      </c>
      <c r="AV596">
        <f t="shared" si="511"/>
        <v>-1.7849696866078903</v>
      </c>
      <c r="AW596">
        <f t="shared" si="512"/>
        <v>40189.773026195573</v>
      </c>
      <c r="AX596">
        <f t="shared" si="513"/>
        <v>-12999.509498713609</v>
      </c>
      <c r="AY596">
        <f t="shared" si="521"/>
        <v>-0.31283220900161873</v>
      </c>
      <c r="BA596">
        <f t="shared" si="502"/>
        <v>1.0899979049862902</v>
      </c>
      <c r="BB596">
        <f t="shared" si="514"/>
        <v>0.74851326424792142</v>
      </c>
      <c r="BC596">
        <f t="shared" si="515"/>
        <v>-1.4721374776062717</v>
      </c>
      <c r="BD596">
        <f t="shared" si="503"/>
        <v>-264.34726442625492</v>
      </c>
      <c r="BF596">
        <f t="shared" si="504"/>
        <v>-51.337062461464939</v>
      </c>
      <c r="BG596">
        <f t="shared" si="505"/>
        <v>-174.8016506768879</v>
      </c>
      <c r="BH596">
        <f t="shared" si="516"/>
        <v>5.1983493231120974</v>
      </c>
      <c r="BI596">
        <f t="shared" si="517"/>
        <v>5.1983493231120974</v>
      </c>
      <c r="BJ596">
        <f t="shared" si="506"/>
        <v>0</v>
      </c>
      <c r="BK596">
        <f t="shared" si="518"/>
        <v>0</v>
      </c>
      <c r="BM596">
        <f t="shared" si="519"/>
        <v>-52.085575725712857</v>
      </c>
      <c r="BN596">
        <f t="shared" si="507"/>
        <v>-90.454386250633007</v>
      </c>
      <c r="BQ596" s="66">
        <f t="shared" si="520"/>
        <v>17.650474064533057</v>
      </c>
    </row>
    <row r="597" spans="1:69" x14ac:dyDescent="0.2">
      <c r="A597">
        <f t="shared" si="522"/>
        <v>1915000</v>
      </c>
      <c r="B597">
        <f t="shared" si="508"/>
        <v>1915</v>
      </c>
      <c r="C597">
        <f t="shared" si="477"/>
        <v>119.12396589220788</v>
      </c>
      <c r="D597">
        <f t="shared" si="478"/>
        <v>1.5624016117783721</v>
      </c>
      <c r="F597">
        <f t="shared" si="479"/>
        <v>1.3883383390074473E-6</v>
      </c>
      <c r="G597">
        <f t="shared" si="480"/>
        <v>4.848824095849351E-4</v>
      </c>
      <c r="H597">
        <f t="shared" si="481"/>
        <v>-3.1411077675904151</v>
      </c>
      <c r="J597">
        <f t="shared" si="482"/>
        <v>15</v>
      </c>
      <c r="M597">
        <f t="shared" si="483"/>
        <v>1.7616183592427232E-3</v>
      </c>
      <c r="N597">
        <f t="shared" si="484"/>
        <v>-1.5707963250000001</v>
      </c>
      <c r="O597">
        <f t="shared" si="485"/>
        <v>567.44414204710233</v>
      </c>
      <c r="P597">
        <f t="shared" si="486"/>
        <v>1.5690340378865946</v>
      </c>
      <c r="Q597">
        <f t="shared" si="487"/>
        <v>786.19110814427108</v>
      </c>
      <c r="R597">
        <f t="shared" si="488"/>
        <v>1.5695243710842735</v>
      </c>
      <c r="S597">
        <f t="shared" si="489"/>
        <v>1.3990151054893962E-2</v>
      </c>
      <c r="T597">
        <f t="shared" si="490"/>
        <v>-1.5568057193309872</v>
      </c>
      <c r="U597">
        <f t="shared" si="491"/>
        <v>0.97735708833284718</v>
      </c>
      <c r="V597">
        <f t="shared" si="492"/>
        <v>-0.2132082627490256</v>
      </c>
      <c r="X597">
        <f t="shared" si="509"/>
        <v>-31.483510747062539</v>
      </c>
      <c r="Y597">
        <f t="shared" si="493"/>
        <v>-102.04138009611583</v>
      </c>
      <c r="Z597">
        <f t="shared" si="510"/>
        <v>77.95861990388417</v>
      </c>
      <c r="AC597">
        <v>1</v>
      </c>
      <c r="AD597">
        <f t="shared" si="494"/>
        <v>567.44326090242009</v>
      </c>
      <c r="AE597">
        <f t="shared" si="495"/>
        <v>-6.8276474627559768E-3</v>
      </c>
      <c r="AF597">
        <f t="shared" si="496"/>
        <v>3.15366579055395E-2</v>
      </c>
      <c r="AG597">
        <f t="shared" si="473"/>
        <v>17180.966061883046</v>
      </c>
      <c r="AH597">
        <f t="shared" si="474"/>
        <v>-3751.3670501949937</v>
      </c>
      <c r="AJ597">
        <f t="shared" si="497"/>
        <v>18000</v>
      </c>
      <c r="AK597">
        <f t="shared" si="498"/>
        <v>1286493.4999085399</v>
      </c>
      <c r="AL597">
        <v>1</v>
      </c>
      <c r="AM597">
        <f t="shared" si="499"/>
        <v>786.19047216632998</v>
      </c>
      <c r="AN597">
        <f t="shared" si="475"/>
        <v>1636.3901106074825</v>
      </c>
      <c r="AO597">
        <f t="shared" si="476"/>
        <v>-20.813798269906478</v>
      </c>
      <c r="AQ597">
        <f t="shared" si="500"/>
        <v>6.8171432883758643E-4</v>
      </c>
      <c r="AR597">
        <f t="shared" si="501"/>
        <v>-2.610965879447956</v>
      </c>
      <c r="AT597">
        <f t="shared" si="470"/>
        <v>-9782.9788585967981</v>
      </c>
      <c r="AU597">
        <f t="shared" si="471"/>
        <v>-44861.473524200803</v>
      </c>
      <c r="AV597">
        <f t="shared" si="511"/>
        <v>-1.7855057818524132</v>
      </c>
      <c r="AW597">
        <f t="shared" si="512"/>
        <v>40181.038045598427</v>
      </c>
      <c r="AX597">
        <f t="shared" si="513"/>
        <v>-13007.206013931338</v>
      </c>
      <c r="AY597">
        <f t="shared" si="521"/>
        <v>-0.31306925078183873</v>
      </c>
      <c r="BA597">
        <f t="shared" si="502"/>
        <v>1.0871779341247643</v>
      </c>
      <c r="BB597">
        <f t="shared" si="514"/>
        <v>0.72601258337205421</v>
      </c>
      <c r="BC597">
        <f t="shared" si="515"/>
        <v>-1.4724365310705745</v>
      </c>
      <c r="BD597">
        <f t="shared" si="503"/>
        <v>-264.3643989276278</v>
      </c>
      <c r="BF597">
        <f t="shared" si="504"/>
        <v>-51.382273026309981</v>
      </c>
      <c r="BG597">
        <f t="shared" si="505"/>
        <v>-174.81759885033824</v>
      </c>
      <c r="BH597">
        <f t="shared" si="516"/>
        <v>5.1824011496617572</v>
      </c>
      <c r="BI597">
        <f t="shared" si="517"/>
        <v>5.1824011496617572</v>
      </c>
      <c r="BJ597">
        <f t="shared" si="506"/>
        <v>0</v>
      </c>
      <c r="BK597">
        <f t="shared" si="518"/>
        <v>0</v>
      </c>
      <c r="BM597">
        <f t="shared" si="519"/>
        <v>-52.108285609682035</v>
      </c>
      <c r="BN597">
        <f t="shared" si="507"/>
        <v>-90.453199922710454</v>
      </c>
      <c r="BQ597" s="66">
        <f t="shared" si="520"/>
        <v>17.627973383657192</v>
      </c>
    </row>
    <row r="598" spans="1:69" x14ac:dyDescent="0.2">
      <c r="A598">
        <f t="shared" si="522"/>
        <v>1920000</v>
      </c>
      <c r="B598">
        <f t="shared" si="508"/>
        <v>1920</v>
      </c>
      <c r="C598">
        <f t="shared" si="477"/>
        <v>119.43497263425883</v>
      </c>
      <c r="D598">
        <f t="shared" si="478"/>
        <v>1.562423471992358</v>
      </c>
      <c r="F598">
        <f t="shared" si="479"/>
        <v>1.381116816216623E-6</v>
      </c>
      <c r="G598">
        <f t="shared" si="480"/>
        <v>4.8361969165172306E-4</v>
      </c>
      <c r="H598">
        <f t="shared" si="481"/>
        <v>-3.1411090303083484</v>
      </c>
      <c r="J598">
        <f t="shared" si="482"/>
        <v>15</v>
      </c>
      <c r="M598">
        <f t="shared" si="483"/>
        <v>1.7570308114321954E-3</v>
      </c>
      <c r="N598">
        <f t="shared" si="484"/>
        <v>-1.5707963250000001</v>
      </c>
      <c r="O598">
        <f t="shared" si="485"/>
        <v>568.92571484619816</v>
      </c>
      <c r="P598">
        <f t="shared" si="486"/>
        <v>1.5690386271711618</v>
      </c>
      <c r="Q598">
        <f t="shared" si="487"/>
        <v>788.24382312558987</v>
      </c>
      <c r="R598">
        <f t="shared" si="488"/>
        <v>1.5695276834653777</v>
      </c>
      <c r="S598">
        <f t="shared" si="489"/>
        <v>1.3953725472792979E-2</v>
      </c>
      <c r="T598">
        <f t="shared" si="490"/>
        <v>-1.556842148469022</v>
      </c>
      <c r="U598">
        <f t="shared" si="491"/>
        <v>0.97724270513889389</v>
      </c>
      <c r="V598">
        <f t="shared" si="492"/>
        <v>-0.21374816156252194</v>
      </c>
      <c r="X598">
        <f t="shared" si="509"/>
        <v>-31.507173686827272</v>
      </c>
      <c r="Y598">
        <f t="shared" si="493"/>
        <v>-102.07276837370341</v>
      </c>
      <c r="Z598">
        <f t="shared" si="510"/>
        <v>77.927231626296589</v>
      </c>
      <c r="AC598">
        <v>1</v>
      </c>
      <c r="AD598">
        <f t="shared" si="494"/>
        <v>568.92483599616003</v>
      </c>
      <c r="AE598">
        <f t="shared" si="495"/>
        <v>-6.8633475193650879E-3</v>
      </c>
      <c r="AF598">
        <f t="shared" si="496"/>
        <v>3.1618999048896E-2</v>
      </c>
      <c r="AG598">
        <f t="shared" si="473"/>
        <v>17176.944811514626</v>
      </c>
      <c r="AH598">
        <f t="shared" si="474"/>
        <v>-3760.1235060769932</v>
      </c>
      <c r="AJ598">
        <f t="shared" si="497"/>
        <v>18000</v>
      </c>
      <c r="AK598">
        <f t="shared" si="498"/>
        <v>1289852.4907699199</v>
      </c>
      <c r="AL598">
        <v>1</v>
      </c>
      <c r="AM598">
        <f t="shared" si="499"/>
        <v>788.24318880383998</v>
      </c>
      <c r="AN598">
        <f t="shared" si="475"/>
        <v>1636.3899729005575</v>
      </c>
      <c r="AO598">
        <f t="shared" si="476"/>
        <v>-20.759595844946329</v>
      </c>
      <c r="AQ598">
        <f t="shared" si="500"/>
        <v>6.7816835678654263E-4</v>
      </c>
      <c r="AR598">
        <f t="shared" si="501"/>
        <v>-2.6041664900603236</v>
      </c>
      <c r="AT598">
        <f t="shared" ref="AT598:AT626" si="523">-AR598*AH598+AG598*AQ598</f>
        <v>-9780.3387725764042</v>
      </c>
      <c r="AU598">
        <f t="shared" ref="AU598:AU626" si="524">AQ598*AH598+AG598*AR598</f>
        <v>-44734.174076541363</v>
      </c>
      <c r="AV598">
        <f t="shared" si="511"/>
        <v>-1.7860417713203733</v>
      </c>
      <c r="AW598">
        <f t="shared" si="512"/>
        <v>40172.281540791941</v>
      </c>
      <c r="AX598">
        <f t="shared" si="513"/>
        <v>-13014.951555427597</v>
      </c>
      <c r="AY598">
        <f t="shared" si="521"/>
        <v>-0.31330762081966235</v>
      </c>
      <c r="BA598">
        <f t="shared" si="502"/>
        <v>1.0843724482603405</v>
      </c>
      <c r="BB598">
        <f t="shared" si="514"/>
        <v>0.70356948985265</v>
      </c>
      <c r="BC598">
        <f t="shared" si="515"/>
        <v>-1.472734150500711</v>
      </c>
      <c r="BD598">
        <f t="shared" si="503"/>
        <v>-264.38145126489519</v>
      </c>
      <c r="BF598">
        <f t="shared" si="504"/>
        <v>-51.427366777665085</v>
      </c>
      <c r="BG598">
        <f t="shared" si="505"/>
        <v>-174.83347103801194</v>
      </c>
      <c r="BH598">
        <f t="shared" si="516"/>
        <v>5.1665289619880639</v>
      </c>
      <c r="BI598">
        <f t="shared" si="517"/>
        <v>5.1665289619880639</v>
      </c>
      <c r="BJ598">
        <f t="shared" si="506"/>
        <v>0</v>
      </c>
      <c r="BK598">
        <f t="shared" si="518"/>
        <v>0</v>
      </c>
      <c r="BM598">
        <f t="shared" si="519"/>
        <v>-52.13093626751774</v>
      </c>
      <c r="BN598">
        <f t="shared" si="507"/>
        <v>-90.45201977311676</v>
      </c>
      <c r="BQ598" s="66">
        <f t="shared" si="520"/>
        <v>17.605530290137786</v>
      </c>
    </row>
    <row r="599" spans="1:69" x14ac:dyDescent="0.2">
      <c r="A599">
        <f t="shared" ref="A599:A614" si="525">A598+5000</f>
        <v>1925000</v>
      </c>
      <c r="B599">
        <f t="shared" si="508"/>
        <v>1925</v>
      </c>
      <c r="C599">
        <f t="shared" si="477"/>
        <v>119.74597943308754</v>
      </c>
      <c r="D599">
        <f t="shared" si="478"/>
        <v>1.5624452186547308</v>
      </c>
      <c r="F599">
        <f t="shared" si="479"/>
        <v>1.3739514920154239E-6</v>
      </c>
      <c r="G599">
        <f t="shared" si="480"/>
        <v>4.8236353331799765E-4</v>
      </c>
      <c r="H599">
        <f t="shared" si="481"/>
        <v>-3.1411102864666822</v>
      </c>
      <c r="J599">
        <f t="shared" si="482"/>
        <v>15</v>
      </c>
      <c r="M599">
        <f t="shared" si="483"/>
        <v>1.7524670950388652E-3</v>
      </c>
      <c r="N599">
        <f t="shared" si="484"/>
        <v>-1.5707963250000001</v>
      </c>
      <c r="O599">
        <f t="shared" si="485"/>
        <v>570.4072876572144</v>
      </c>
      <c r="P599">
        <f t="shared" si="486"/>
        <v>1.5690431926153634</v>
      </c>
      <c r="Q599">
        <f t="shared" si="487"/>
        <v>790.29653811551213</v>
      </c>
      <c r="R599">
        <f t="shared" si="488"/>
        <v>1.5695309786393352</v>
      </c>
      <c r="S599">
        <f t="shared" si="489"/>
        <v>1.3917489059373726E-2</v>
      </c>
      <c r="T599">
        <f t="shared" si="490"/>
        <v>-1.5568783884015325</v>
      </c>
      <c r="U599">
        <f t="shared" si="491"/>
        <v>0.97712806399132102</v>
      </c>
      <c r="V599">
        <f t="shared" si="492"/>
        <v>-0.21428793386137615</v>
      </c>
      <c r="X599">
        <f t="shared" si="509"/>
        <v>-31.530780154165733</v>
      </c>
      <c r="Y599">
        <f t="shared" si="493"/>
        <v>-102.10414704389795</v>
      </c>
      <c r="Z599">
        <f t="shared" si="510"/>
        <v>77.895852956102047</v>
      </c>
      <c r="AC599">
        <v>1</v>
      </c>
      <c r="AD599">
        <f t="shared" si="494"/>
        <v>570.40641108990008</v>
      </c>
      <c r="AE599">
        <f t="shared" si="495"/>
        <v>-6.8991406660826975E-3</v>
      </c>
      <c r="AF599">
        <f t="shared" si="496"/>
        <v>3.17013401922525E-2</v>
      </c>
      <c r="AG599">
        <f t="shared" si="473"/>
        <v>17172.914964780968</v>
      </c>
      <c r="AH599">
        <f t="shared" si="474"/>
        <v>-3768.8739739116722</v>
      </c>
      <c r="AJ599">
        <f t="shared" si="497"/>
        <v>18000</v>
      </c>
      <c r="AK599">
        <f t="shared" si="498"/>
        <v>1293211.4816312999</v>
      </c>
      <c r="AL599">
        <v>1</v>
      </c>
      <c r="AM599">
        <f t="shared" si="499"/>
        <v>790.29590544134999</v>
      </c>
      <c r="AN599">
        <f t="shared" si="475"/>
        <v>1636.3898362652772</v>
      </c>
      <c r="AO599">
        <f t="shared" si="476"/>
        <v>-20.705674989668935</v>
      </c>
      <c r="AQ599">
        <f t="shared" si="500"/>
        <v>6.7464997978411336E-4</v>
      </c>
      <c r="AR599">
        <f t="shared" si="501"/>
        <v>-2.5974024221688365</v>
      </c>
      <c r="AT599">
        <f t="shared" si="523"/>
        <v>-9777.6966819534427</v>
      </c>
      <c r="AU599">
        <f t="shared" si="524"/>
        <v>-44607.513595971854</v>
      </c>
      <c r="AV599">
        <f t="shared" si="511"/>
        <v>-1.7865776545819068</v>
      </c>
      <c r="AW599">
        <f t="shared" si="512"/>
        <v>40163.503564530176</v>
      </c>
      <c r="AX599">
        <f t="shared" si="513"/>
        <v>-13022.745602767824</v>
      </c>
      <c r="AY599">
        <f t="shared" si="521"/>
        <v>-0.31354730762942412</v>
      </c>
      <c r="BA599">
        <f t="shared" si="502"/>
        <v>1.0815813365887907</v>
      </c>
      <c r="BB599">
        <f t="shared" si="514"/>
        <v>0.68118369239438237</v>
      </c>
      <c r="BC599">
        <f t="shared" si="515"/>
        <v>-1.4730303469524826</v>
      </c>
      <c r="BD599">
        <f t="shared" si="503"/>
        <v>-264.39842207150787</v>
      </c>
      <c r="BF599">
        <f t="shared" si="504"/>
        <v>-51.472344314961546</v>
      </c>
      <c r="BG599">
        <f t="shared" si="505"/>
        <v>-174.84926782522172</v>
      </c>
      <c r="BH599">
        <f t="shared" si="516"/>
        <v>5.1507321747782839</v>
      </c>
      <c r="BI599">
        <f t="shared" si="517"/>
        <v>5.1507321747782839</v>
      </c>
      <c r="BJ599">
        <f t="shared" si="506"/>
        <v>0</v>
      </c>
      <c r="BK599">
        <f t="shared" si="518"/>
        <v>0</v>
      </c>
      <c r="BM599">
        <f t="shared" si="519"/>
        <v>-52.153528007355931</v>
      </c>
      <c r="BN599">
        <f t="shared" si="507"/>
        <v>-90.450845753713878</v>
      </c>
      <c r="BQ599" s="66">
        <f t="shared" si="520"/>
        <v>17.583144492679519</v>
      </c>
    </row>
    <row r="600" spans="1:69" x14ac:dyDescent="0.2">
      <c r="A600">
        <f t="shared" si="525"/>
        <v>1930000</v>
      </c>
      <c r="B600">
        <f t="shared" si="508"/>
        <v>1930</v>
      </c>
      <c r="C600">
        <f t="shared" si="477"/>
        <v>120.05698628825284</v>
      </c>
      <c r="D600">
        <f t="shared" si="478"/>
        <v>1.5624668526479344</v>
      </c>
      <c r="F600">
        <f t="shared" si="479"/>
        <v>1.3668417847888375E-6</v>
      </c>
      <c r="G600">
        <f t="shared" si="480"/>
        <v>4.8111388360214948E-4</v>
      </c>
      <c r="H600">
        <f t="shared" si="481"/>
        <v>-3.1411115361163979</v>
      </c>
      <c r="J600">
        <f t="shared" si="482"/>
        <v>15</v>
      </c>
      <c r="M600">
        <f t="shared" si="483"/>
        <v>1.747927024844464E-3</v>
      </c>
      <c r="N600">
        <f t="shared" si="484"/>
        <v>-1.5707963250000001</v>
      </c>
      <c r="O600">
        <f t="shared" si="485"/>
        <v>571.88886048005804</v>
      </c>
      <c r="P600">
        <f t="shared" si="486"/>
        <v>1.569047734404486</v>
      </c>
      <c r="Q600">
        <f t="shared" si="487"/>
        <v>792.34925311397126</v>
      </c>
      <c r="R600">
        <f t="shared" si="488"/>
        <v>1.5695342567398796</v>
      </c>
      <c r="S600">
        <f t="shared" si="489"/>
        <v>1.3881440344982144E-2</v>
      </c>
      <c r="T600">
        <f t="shared" si="490"/>
        <v>-1.5569144405986484</v>
      </c>
      <c r="U600">
        <f t="shared" si="491"/>
        <v>0.9770131651812719</v>
      </c>
      <c r="V600">
        <f t="shared" si="492"/>
        <v>-0.21482757937563324</v>
      </c>
      <c r="X600">
        <f t="shared" si="509"/>
        <v>-31.554330452714538</v>
      </c>
      <c r="Y600">
        <f t="shared" si="493"/>
        <v>-102.13551610954663</v>
      </c>
      <c r="Z600">
        <f t="shared" si="510"/>
        <v>77.864483890453371</v>
      </c>
      <c r="AC600">
        <v>1</v>
      </c>
      <c r="AD600">
        <f t="shared" si="494"/>
        <v>571.88798618364001</v>
      </c>
      <c r="AE600">
        <f t="shared" si="495"/>
        <v>-6.9350269029088045E-3</v>
      </c>
      <c r="AF600">
        <f t="shared" si="496"/>
        <v>3.1783681335609007E-2</v>
      </c>
      <c r="AG600">
        <f t="shared" si="473"/>
        <v>17168.876535105825</v>
      </c>
      <c r="AH600">
        <f t="shared" si="474"/>
        <v>-3777.6184387162648</v>
      </c>
      <c r="AJ600">
        <f t="shared" si="497"/>
        <v>18000</v>
      </c>
      <c r="AK600">
        <f t="shared" si="498"/>
        <v>1296570.47249268</v>
      </c>
      <c r="AL600">
        <v>1</v>
      </c>
      <c r="AM600">
        <f t="shared" si="499"/>
        <v>792.34862207885999</v>
      </c>
      <c r="AN600">
        <f t="shared" si="475"/>
        <v>1636.3897006905504</v>
      </c>
      <c r="AO600">
        <f t="shared" si="476"/>
        <v>-20.65203351572287</v>
      </c>
      <c r="AQ600">
        <f t="shared" si="500"/>
        <v>6.7115891224201244E-4</v>
      </c>
      <c r="AR600">
        <f t="shared" si="501"/>
        <v>-2.5906734012541679</v>
      </c>
      <c r="AT600">
        <f t="shared" si="523"/>
        <v>-9775.052564769805</v>
      </c>
      <c r="AU600">
        <f t="shared" si="524"/>
        <v>-44481.487151197674</v>
      </c>
      <c r="AV600">
        <f t="shared" si="511"/>
        <v>-1.7871134312092232</v>
      </c>
      <c r="AW600">
        <f t="shared" si="512"/>
        <v>40154.704169316719</v>
      </c>
      <c r="AX600">
        <f t="shared" si="513"/>
        <v>-13030.587640716363</v>
      </c>
      <c r="AY600">
        <f t="shared" si="521"/>
        <v>-0.31378829984058931</v>
      </c>
      <c r="BA600">
        <f t="shared" si="502"/>
        <v>1.0788044894278128</v>
      </c>
      <c r="BB600">
        <f t="shared" si="514"/>
        <v>0.65885490188457485</v>
      </c>
      <c r="BC600">
        <f t="shared" si="515"/>
        <v>-1.4733251313686337</v>
      </c>
      <c r="BD600">
        <f t="shared" si="503"/>
        <v>-264.41531197443885</v>
      </c>
      <c r="BF600">
        <f t="shared" si="504"/>
        <v>-51.517206233049336</v>
      </c>
      <c r="BG600">
        <f t="shared" si="505"/>
        <v>-174.86498979130135</v>
      </c>
      <c r="BH600">
        <f t="shared" si="516"/>
        <v>5.1350102086986453</v>
      </c>
      <c r="BI600">
        <f t="shared" si="517"/>
        <v>5.1350102086986453</v>
      </c>
      <c r="BJ600">
        <f t="shared" si="506"/>
        <v>0</v>
      </c>
      <c r="BK600">
        <f t="shared" si="518"/>
        <v>0</v>
      </c>
      <c r="BM600">
        <f t="shared" si="519"/>
        <v>-52.176061134933917</v>
      </c>
      <c r="BN600">
        <f t="shared" si="507"/>
        <v>-90.449677816862547</v>
      </c>
      <c r="BQ600" s="66">
        <f t="shared" si="520"/>
        <v>17.560815702169712</v>
      </c>
    </row>
    <row r="601" spans="1:69" x14ac:dyDescent="0.2">
      <c r="A601">
        <f t="shared" si="525"/>
        <v>1935000</v>
      </c>
      <c r="B601">
        <f t="shared" si="508"/>
        <v>1935</v>
      </c>
      <c r="C601">
        <f t="shared" si="477"/>
        <v>120.36799319931799</v>
      </c>
      <c r="D601">
        <f t="shared" si="478"/>
        <v>1.5624883748452922</v>
      </c>
      <c r="F601">
        <f t="shared" si="479"/>
        <v>1.3597871204265541E-6</v>
      </c>
      <c r="G601">
        <f t="shared" si="480"/>
        <v>4.7987069204951386E-4</v>
      </c>
      <c r="H601">
        <f t="shared" si="481"/>
        <v>-3.1411127793079507</v>
      </c>
      <c r="J601">
        <f t="shared" si="482"/>
        <v>15</v>
      </c>
      <c r="M601">
        <f t="shared" si="483"/>
        <v>1.7434104175451241E-3</v>
      </c>
      <c r="N601">
        <f t="shared" si="484"/>
        <v>-1.5707963250000001</v>
      </c>
      <c r="O601">
        <f t="shared" si="485"/>
        <v>573.37043331463758</v>
      </c>
      <c r="P601">
        <f t="shared" si="486"/>
        <v>1.5690522527219017</v>
      </c>
      <c r="Q601">
        <f t="shared" si="487"/>
        <v>794.40196812090085</v>
      </c>
      <c r="R601">
        <f t="shared" si="488"/>
        <v>1.5695375178993629</v>
      </c>
      <c r="S601">
        <f t="shared" si="489"/>
        <v>1.3845577875147069E-2</v>
      </c>
      <c r="T601">
        <f t="shared" si="490"/>
        <v>-1.5569503065153099</v>
      </c>
      <c r="U601">
        <f t="shared" si="491"/>
        <v>0.9768980090003575</v>
      </c>
      <c r="V601">
        <f t="shared" si="492"/>
        <v>-0.21536709783576044</v>
      </c>
      <c r="X601">
        <f t="shared" si="509"/>
        <v>-31.57782488373779</v>
      </c>
      <c r="Y601">
        <f t="shared" si="493"/>
        <v>-102.16687557333172</v>
      </c>
      <c r="Z601">
        <f t="shared" si="510"/>
        <v>77.833124426668277</v>
      </c>
      <c r="AC601">
        <v>1</v>
      </c>
      <c r="AD601">
        <f t="shared" si="494"/>
        <v>573.36956127738006</v>
      </c>
      <c r="AE601">
        <f t="shared" si="495"/>
        <v>-6.9710062298434109E-3</v>
      </c>
      <c r="AF601">
        <f t="shared" si="496"/>
        <v>3.18660224789655E-2</v>
      </c>
      <c r="AG601">
        <f t="shared" si="473"/>
        <v>17164.829535931764</v>
      </c>
      <c r="AH601">
        <f t="shared" si="474"/>
        <v>-3786.3568855769386</v>
      </c>
      <c r="AJ601">
        <f t="shared" si="497"/>
        <v>18000</v>
      </c>
      <c r="AK601">
        <f t="shared" si="498"/>
        <v>1299929.46335406</v>
      </c>
      <c r="AL601">
        <v>1</v>
      </c>
      <c r="AM601">
        <f t="shared" si="499"/>
        <v>794.40133871636999</v>
      </c>
      <c r="AN601">
        <f t="shared" si="475"/>
        <v>1636.3895661654296</v>
      </c>
      <c r="AO601">
        <f t="shared" si="476"/>
        <v>-20.598669257375168</v>
      </c>
      <c r="AQ601">
        <f t="shared" si="500"/>
        <v>6.6769487225695084E-4</v>
      </c>
      <c r="AR601">
        <f t="shared" si="501"/>
        <v>-2.5839791556343998</v>
      </c>
      <c r="AT601">
        <f t="shared" si="523"/>
        <v>-9772.4063994592871</v>
      </c>
      <c r="AU601">
        <f t="shared" si="524"/>
        <v>-44356.089861942404</v>
      </c>
      <c r="AV601">
        <f t="shared" si="511"/>
        <v>-1.7876491007765862</v>
      </c>
      <c r="AW601">
        <f t="shared" si="512"/>
        <v>40145.883407409114</v>
      </c>
      <c r="AX601">
        <f t="shared" si="513"/>
        <v>-13038.477159170405</v>
      </c>
      <c r="AY601">
        <f t="shared" si="521"/>
        <v>-0.31403058619629581</v>
      </c>
      <c r="BA601">
        <f t="shared" si="502"/>
        <v>1.0760417982029356</v>
      </c>
      <c r="BB601">
        <f t="shared" si="514"/>
        <v>0.6365828313716797</v>
      </c>
      <c r="BC601">
        <f t="shared" si="515"/>
        <v>-1.4736185145802905</v>
      </c>
      <c r="BD601">
        <f t="shared" si="503"/>
        <v>-264.43212159426599</v>
      </c>
      <c r="BF601">
        <f t="shared" si="504"/>
        <v>-51.561953122243523</v>
      </c>
      <c r="BG601">
        <f t="shared" si="505"/>
        <v>-174.88063750968183</v>
      </c>
      <c r="BH601">
        <f t="shared" si="516"/>
        <v>5.1193624903181671</v>
      </c>
      <c r="BI601">
        <f t="shared" si="517"/>
        <v>5.1193624903181671</v>
      </c>
      <c r="BJ601">
        <f t="shared" si="506"/>
        <v>0</v>
      </c>
      <c r="BK601">
        <f t="shared" si="518"/>
        <v>0</v>
      </c>
      <c r="BM601">
        <f t="shared" si="519"/>
        <v>-52.198535953615206</v>
      </c>
      <c r="BN601">
        <f t="shared" si="507"/>
        <v>-90.448515915415868</v>
      </c>
      <c r="BQ601" s="66">
        <f t="shared" si="520"/>
        <v>17.538543631656815</v>
      </c>
    </row>
    <row r="602" spans="1:69" x14ac:dyDescent="0.2">
      <c r="A602">
        <f t="shared" si="525"/>
        <v>1940000</v>
      </c>
      <c r="B602">
        <f t="shared" si="508"/>
        <v>1940</v>
      </c>
      <c r="C602">
        <f t="shared" si="477"/>
        <v>120.67900016585081</v>
      </c>
      <c r="D602">
        <f t="shared" si="478"/>
        <v>1.5625097861111259</v>
      </c>
      <c r="F602">
        <f t="shared" si="479"/>
        <v>1.3527869322070651E-6</v>
      </c>
      <c r="G602">
        <f t="shared" si="480"/>
        <v>4.7863390872558112E-4</v>
      </c>
      <c r="H602">
        <f t="shared" si="481"/>
        <v>-3.1411140160912745</v>
      </c>
      <c r="J602">
        <f t="shared" si="482"/>
        <v>15</v>
      </c>
      <c r="M602">
        <f t="shared" si="483"/>
        <v>1.7389170917267089E-3</v>
      </c>
      <c r="N602">
        <f t="shared" si="484"/>
        <v>-1.5707963250000001</v>
      </c>
      <c r="O602">
        <f t="shared" si="485"/>
        <v>574.8520061608624</v>
      </c>
      <c r="P602">
        <f t="shared" si="486"/>
        <v>1.5690567477490922</v>
      </c>
      <c r="Q602">
        <f t="shared" si="487"/>
        <v>796.45468313623553</v>
      </c>
      <c r="R602">
        <f t="shared" si="488"/>
        <v>1.5695407622487725</v>
      </c>
      <c r="S602">
        <f t="shared" si="489"/>
        <v>1.3809900210384699E-2</v>
      </c>
      <c r="T602">
        <f t="shared" si="490"/>
        <v>-1.5569859875914616</v>
      </c>
      <c r="U602">
        <f t="shared" si="491"/>
        <v>0.97678259574065462</v>
      </c>
      <c r="V602">
        <f t="shared" si="492"/>
        <v>-0.21590648897264778</v>
      </c>
      <c r="X602">
        <f t="shared" si="509"/>
        <v>-31.601263746151549</v>
      </c>
      <c r="Y602">
        <f t="shared" si="493"/>
        <v>-102.19822543777305</v>
      </c>
      <c r="Z602">
        <f t="shared" si="510"/>
        <v>77.801774562226953</v>
      </c>
      <c r="AC602">
        <v>1</v>
      </c>
      <c r="AD602">
        <f t="shared" si="494"/>
        <v>574.85113637112011</v>
      </c>
      <c r="AE602">
        <f t="shared" si="495"/>
        <v>-7.0070786468865139E-3</v>
      </c>
      <c r="AF602">
        <f t="shared" si="496"/>
        <v>3.1948363622322E-2</v>
      </c>
      <c r="AG602">
        <f t="shared" si="473"/>
        <v>17160.77398072006</v>
      </c>
      <c r="AH602">
        <f t="shared" si="474"/>
        <v>-3795.0892996483617</v>
      </c>
      <c r="AJ602">
        <f t="shared" si="497"/>
        <v>18000</v>
      </c>
      <c r="AK602">
        <f t="shared" si="498"/>
        <v>1303288.45421544</v>
      </c>
      <c r="AL602">
        <v>1</v>
      </c>
      <c r="AM602">
        <f t="shared" si="499"/>
        <v>796.45405535387999</v>
      </c>
      <c r="AN602">
        <f t="shared" si="475"/>
        <v>1636.3894326791087</v>
      </c>
      <c r="AO602">
        <f t="shared" si="476"/>
        <v>-20.545580071219828</v>
      </c>
      <c r="AQ602">
        <f t="shared" si="500"/>
        <v>6.6425758155372642E-4</v>
      </c>
      <c r="AR602">
        <f t="shared" si="501"/>
        <v>-2.5773194164284585</v>
      </c>
      <c r="AT602">
        <f t="shared" si="523"/>
        <v>-9769.7581648415799</v>
      </c>
      <c r="AU602">
        <f t="shared" si="524"/>
        <v>-44231.316898290068</v>
      </c>
      <c r="AV602">
        <f t="shared" si="511"/>
        <v>-1.7881846628602924</v>
      </c>
      <c r="AW602">
        <f t="shared" si="512"/>
        <v>40137.041330823035</v>
      </c>
      <c r="AX602">
        <f t="shared" si="513"/>
        <v>-13046.413653094851</v>
      </c>
      <c r="AY602">
        <f t="shared" si="521"/>
        <v>-0.31427415555191685</v>
      </c>
      <c r="BA602">
        <f t="shared" si="502"/>
        <v>1.0732931554336345</v>
      </c>
      <c r="BB602">
        <f t="shared" si="514"/>
        <v>0.61436719604401646</v>
      </c>
      <c r="BC602">
        <f t="shared" si="515"/>
        <v>-1.4739105073083756</v>
      </c>
      <c r="BD602">
        <f t="shared" si="503"/>
        <v>-264.44885154525286</v>
      </c>
      <c r="BF602">
        <f t="shared" si="504"/>
        <v>-51.606585568369994</v>
      </c>
      <c r="BG602">
        <f t="shared" si="505"/>
        <v>-174.89621154796572</v>
      </c>
      <c r="BH602">
        <f t="shared" si="516"/>
        <v>5.10378845203428</v>
      </c>
      <c r="BI602">
        <f t="shared" si="517"/>
        <v>5.10378845203428</v>
      </c>
      <c r="BJ602">
        <f t="shared" si="506"/>
        <v>0</v>
      </c>
      <c r="BK602">
        <f t="shared" si="518"/>
        <v>0</v>
      </c>
      <c r="BM602">
        <f t="shared" si="519"/>
        <v>-52.220952764414008</v>
      </c>
      <c r="BN602">
        <f t="shared" si="507"/>
        <v>-90.447360002712855</v>
      </c>
      <c r="BQ602" s="66">
        <f t="shared" si="520"/>
        <v>17.516327996329153</v>
      </c>
    </row>
    <row r="603" spans="1:69" x14ac:dyDescent="0.2">
      <c r="A603">
        <f t="shared" si="525"/>
        <v>1945000</v>
      </c>
      <c r="B603">
        <f t="shared" si="508"/>
        <v>1945</v>
      </c>
      <c r="C603">
        <f t="shared" si="477"/>
        <v>120.99000718742357</v>
      </c>
      <c r="D603">
        <f t="shared" si="478"/>
        <v>1.56253108730087</v>
      </c>
      <c r="F603">
        <f t="shared" si="479"/>
        <v>1.3458406606838434E-6</v>
      </c>
      <c r="G603">
        <f t="shared" si="480"/>
        <v>4.7740348420930985E-4</v>
      </c>
      <c r="H603">
        <f t="shared" si="481"/>
        <v>-3.141115246515791</v>
      </c>
      <c r="J603">
        <f t="shared" si="482"/>
        <v>15</v>
      </c>
      <c r="M603">
        <f t="shared" si="483"/>
        <v>1.734446867840522E-3</v>
      </c>
      <c r="N603">
        <f t="shared" si="484"/>
        <v>-1.5707963250000001</v>
      </c>
      <c r="O603">
        <f t="shared" si="485"/>
        <v>576.33357901864235</v>
      </c>
      <c r="P603">
        <f t="shared" si="486"/>
        <v>1.5690612196656728</v>
      </c>
      <c r="Q603">
        <f t="shared" si="487"/>
        <v>798.50739815991039</v>
      </c>
      <c r="R603">
        <f t="shared" si="488"/>
        <v>1.5695439899177484</v>
      </c>
      <c r="S603">
        <f t="shared" si="489"/>
        <v>1.3774405926006063E-2</v>
      </c>
      <c r="T603">
        <f t="shared" si="490"/>
        <v>-1.557021485252247</v>
      </c>
      <c r="U603">
        <f t="shared" si="491"/>
        <v>0.97666692569470526</v>
      </c>
      <c r="V603">
        <f t="shared" si="492"/>
        <v>-0.2164457525176085</v>
      </c>
      <c r="X603">
        <f t="shared" si="509"/>
        <v>-31.624647336547966</v>
      </c>
      <c r="Y603">
        <f t="shared" si="493"/>
        <v>-102.22956570523043</v>
      </c>
      <c r="Z603">
        <f t="shared" si="510"/>
        <v>77.770434294769572</v>
      </c>
      <c r="AC603">
        <v>1</v>
      </c>
      <c r="AD603">
        <f t="shared" si="494"/>
        <v>576.33271146486004</v>
      </c>
      <c r="AE603">
        <f t="shared" si="495"/>
        <v>-7.0432441540381162E-3</v>
      </c>
      <c r="AF603">
        <f t="shared" si="496"/>
        <v>3.20307047656785E-2</v>
      </c>
      <c r="AG603">
        <f t="shared" si="473"/>
        <v>17156.709882950538</v>
      </c>
      <c r="AH603">
        <f t="shared" si="474"/>
        <v>-3803.8156661533098</v>
      </c>
      <c r="AJ603">
        <f t="shared" si="497"/>
        <v>18000</v>
      </c>
      <c r="AK603">
        <f t="shared" si="498"/>
        <v>1306647.44507682</v>
      </c>
      <c r="AL603">
        <v>1</v>
      </c>
      <c r="AM603">
        <f t="shared" si="499"/>
        <v>798.50677199139</v>
      </c>
      <c r="AN603">
        <f t="shared" si="475"/>
        <v>1636.3893002209193</v>
      </c>
      <c r="AO603">
        <f t="shared" si="476"/>
        <v>-20.492763835890827</v>
      </c>
      <c r="AQ603">
        <f t="shared" si="500"/>
        <v>6.6084676542933459E-4</v>
      </c>
      <c r="AR603">
        <f t="shared" si="501"/>
        <v>-2.5706939175201118</v>
      </c>
      <c r="AT603">
        <f t="shared" si="523"/>
        <v>-9767.1078401164687</v>
      </c>
      <c r="AU603">
        <f t="shared" si="524"/>
        <v>-44107.163480037401</v>
      </c>
      <c r="AV603">
        <f t="shared" si="511"/>
        <v>-1.7887201170386513</v>
      </c>
      <c r="AW603">
        <f t="shared" si="512"/>
        <v>40128.177991336335</v>
      </c>
      <c r="AX603">
        <f t="shared" si="513"/>
        <v>-13054.396622458251</v>
      </c>
      <c r="AY603">
        <f t="shared" si="521"/>
        <v>-0.31451899687364809</v>
      </c>
      <c r="BA603">
        <f t="shared" si="502"/>
        <v>1.0705584547196545</v>
      </c>
      <c r="BB603">
        <f t="shared" si="514"/>
        <v>0.59220771320876842</v>
      </c>
      <c r="BC603">
        <f t="shared" si="515"/>
        <v>-1.4742011201650032</v>
      </c>
      <c r="BD603">
        <f t="shared" si="503"/>
        <v>-264.4655024354289</v>
      </c>
      <c r="BF603">
        <f t="shared" si="504"/>
        <v>-51.65110415281066</v>
      </c>
      <c r="BG603">
        <f t="shared" si="505"/>
        <v>-174.91171246800133</v>
      </c>
      <c r="BH603">
        <f t="shared" si="516"/>
        <v>5.0882875319986738</v>
      </c>
      <c r="BI603">
        <f t="shared" si="517"/>
        <v>5.0882875319986738</v>
      </c>
      <c r="BJ603">
        <f t="shared" si="506"/>
        <v>0</v>
      </c>
      <c r="BK603">
        <f t="shared" si="518"/>
        <v>0</v>
      </c>
      <c r="BM603">
        <f t="shared" si="519"/>
        <v>-52.243311866019432</v>
      </c>
      <c r="BN603">
        <f t="shared" si="507"/>
        <v>-90.446210032572424</v>
      </c>
      <c r="BQ603" s="66">
        <f t="shared" si="520"/>
        <v>17.494168513493907</v>
      </c>
    </row>
    <row r="604" spans="1:69" x14ac:dyDescent="0.2">
      <c r="A604">
        <f t="shared" si="525"/>
        <v>1950000</v>
      </c>
      <c r="B604">
        <f t="shared" si="508"/>
        <v>1950</v>
      </c>
      <c r="C604">
        <f t="shared" si="477"/>
        <v>121.30101426361291</v>
      </c>
      <c r="D604">
        <f t="shared" si="478"/>
        <v>1.5625522792611868</v>
      </c>
      <c r="F604">
        <f t="shared" si="479"/>
        <v>1.338947753573564E-6</v>
      </c>
      <c r="G604">
        <f t="shared" si="480"/>
        <v>4.7617936958654477E-4</v>
      </c>
      <c r="H604">
        <f t="shared" si="481"/>
        <v>-3.1411164706304135</v>
      </c>
      <c r="J604">
        <f t="shared" si="482"/>
        <v>15</v>
      </c>
      <c r="M604">
        <f t="shared" si="483"/>
        <v>1.7299995681793923E-3</v>
      </c>
      <c r="N604">
        <f t="shared" si="484"/>
        <v>-1.5707963250000001</v>
      </c>
      <c r="O604">
        <f t="shared" si="485"/>
        <v>577.81515188788887</v>
      </c>
      <c r="P604">
        <f t="shared" si="486"/>
        <v>1.5690656686494169</v>
      </c>
      <c r="Q604">
        <f t="shared" si="487"/>
        <v>800.56011319186143</v>
      </c>
      <c r="R604">
        <f t="shared" si="488"/>
        <v>1.5695472010346017</v>
      </c>
      <c r="S604">
        <f t="shared" si="489"/>
        <v>1.3739093611927464E-2</v>
      </c>
      <c r="T604">
        <f t="shared" si="490"/>
        <v>-1.5570568009081971</v>
      </c>
      <c r="U604">
        <f t="shared" si="491"/>
        <v>0.97655099915551202</v>
      </c>
      <c r="V604">
        <f t="shared" si="492"/>
        <v>-0.21698488820237996</v>
      </c>
      <c r="X604">
        <f t="shared" si="509"/>
        <v>-31.647975949219092</v>
      </c>
      <c r="Y604">
        <f t="shared" si="493"/>
        <v>-102.26089637790608</v>
      </c>
      <c r="Z604">
        <f t="shared" si="510"/>
        <v>77.739103622093921</v>
      </c>
      <c r="AC604">
        <v>1</v>
      </c>
      <c r="AD604">
        <f t="shared" si="494"/>
        <v>577.81428655860009</v>
      </c>
      <c r="AE604">
        <f t="shared" si="495"/>
        <v>-7.0795027512982178E-3</v>
      </c>
      <c r="AF604">
        <f t="shared" si="496"/>
        <v>3.2113045909035E-2</v>
      </c>
      <c r="AG604">
        <f t="shared" si="473"/>
        <v>17152.637256121547</v>
      </c>
      <c r="AH604">
        <f t="shared" si="474"/>
        <v>-3812.5359703822596</v>
      </c>
      <c r="AJ604">
        <f t="shared" si="497"/>
        <v>18000</v>
      </c>
      <c r="AK604">
        <f t="shared" si="498"/>
        <v>1310006.4359382</v>
      </c>
      <c r="AL604">
        <v>1</v>
      </c>
      <c r="AM604">
        <f t="shared" si="499"/>
        <v>800.5594886289</v>
      </c>
      <c r="AN604">
        <f t="shared" si="475"/>
        <v>1636.38916878033</v>
      </c>
      <c r="AO604">
        <f t="shared" si="476"/>
        <v>-20.440218451779582</v>
      </c>
      <c r="AQ604">
        <f t="shared" si="500"/>
        <v>6.5746215269808328E-4</v>
      </c>
      <c r="AR604">
        <f t="shared" si="501"/>
        <v>-2.5641023955225251</v>
      </c>
      <c r="AT604">
        <f t="shared" si="523"/>
        <v>-9764.4554048580867</v>
      </c>
      <c r="AU604">
        <f t="shared" si="524"/>
        <v>-43983.624876056492</v>
      </c>
      <c r="AV604">
        <f t="shared" si="511"/>
        <v>-1.7892554628919652</v>
      </c>
      <c r="AW604">
        <f t="shared" si="512"/>
        <v>40119.293440493231</v>
      </c>
      <c r="AX604">
        <f t="shared" si="513"/>
        <v>-13062.425572169719</v>
      </c>
      <c r="AY604">
        <f t="shared" si="521"/>
        <v>-0.31476509923711343</v>
      </c>
      <c r="BA604">
        <f t="shared" si="502"/>
        <v>1.0678375907275384</v>
      </c>
      <c r="BB604">
        <f t="shared" si="514"/>
        <v>0.57010410227124708</v>
      </c>
      <c r="BC604">
        <f t="shared" si="515"/>
        <v>-1.4744903636548519</v>
      </c>
      <c r="BD604">
        <f t="shared" si="503"/>
        <v>-264.4820748666678</v>
      </c>
      <c r="BF604">
        <f t="shared" si="504"/>
        <v>-51.695509452548109</v>
      </c>
      <c r="BG604">
        <f t="shared" si="505"/>
        <v>-174.92714082595467</v>
      </c>
      <c r="BH604">
        <f t="shared" si="516"/>
        <v>5.0728591740453339</v>
      </c>
      <c r="BI604">
        <f t="shared" si="517"/>
        <v>5.0728591740453339</v>
      </c>
      <c r="BJ604">
        <f t="shared" si="506"/>
        <v>0</v>
      </c>
      <c r="BK604">
        <f t="shared" si="518"/>
        <v>0</v>
      </c>
      <c r="BM604">
        <f t="shared" si="519"/>
        <v>-52.265613554819353</v>
      </c>
      <c r="BN604">
        <f t="shared" si="507"/>
        <v>-90.445065959286865</v>
      </c>
      <c r="BQ604" s="66">
        <f t="shared" si="520"/>
        <v>17.472064902556383</v>
      </c>
    </row>
    <row r="605" spans="1:69" x14ac:dyDescent="0.2">
      <c r="A605">
        <f t="shared" si="525"/>
        <v>1955000</v>
      </c>
      <c r="B605">
        <f t="shared" si="508"/>
        <v>1955</v>
      </c>
      <c r="C605">
        <f t="shared" si="477"/>
        <v>121.6120213939998</v>
      </c>
      <c r="D605">
        <f t="shared" si="478"/>
        <v>1.5625733628300778</v>
      </c>
      <c r="F605">
        <f t="shared" si="479"/>
        <v>1.3321076656463226E-6</v>
      </c>
      <c r="G605">
        <f t="shared" si="480"/>
        <v>4.7496151644353419E-4</v>
      </c>
      <c r="H605">
        <f t="shared" si="481"/>
        <v>-3.1411176884835568</v>
      </c>
      <c r="J605">
        <f t="shared" si="482"/>
        <v>15</v>
      </c>
      <c r="M605">
        <f t="shared" si="483"/>
        <v>1.7255750168541255E-3</v>
      </c>
      <c r="N605">
        <f t="shared" si="484"/>
        <v>-1.5707963250000001</v>
      </c>
      <c r="O605">
        <f t="shared" si="485"/>
        <v>579.29672476851363</v>
      </c>
      <c r="P605">
        <f t="shared" si="486"/>
        <v>1.5690700948762786</v>
      </c>
      <c r="Q605">
        <f t="shared" si="487"/>
        <v>802.61282823202487</v>
      </c>
      <c r="R605">
        <f t="shared" si="488"/>
        <v>1.5695503957263304</v>
      </c>
      <c r="S605">
        <f t="shared" si="489"/>
        <v>1.3703961872483785E-2</v>
      </c>
      <c r="T605">
        <f t="shared" si="490"/>
        <v>-1.5570919359554174</v>
      </c>
      <c r="U605">
        <f t="shared" si="491"/>
        <v>0.97643481641653851</v>
      </c>
      <c r="V605">
        <f t="shared" si="492"/>
        <v>-0.21752389575912384</v>
      </c>
      <c r="X605">
        <f t="shared" si="509"/>
        <v>-31.671249876180447</v>
      </c>
      <c r="Y605">
        <f t="shared" si="493"/>
        <v>-102.29221745784706</v>
      </c>
      <c r="Z605">
        <f t="shared" si="510"/>
        <v>77.707782542152941</v>
      </c>
      <c r="AC605">
        <v>1</v>
      </c>
      <c r="AD605">
        <f t="shared" si="494"/>
        <v>579.29586165234002</v>
      </c>
      <c r="AE605">
        <f t="shared" si="495"/>
        <v>-7.115854438666816E-3</v>
      </c>
      <c r="AF605">
        <f t="shared" si="496"/>
        <v>3.21953870523915E-2</v>
      </c>
      <c r="AG605">
        <f t="shared" si="473"/>
        <v>17148.556113749812</v>
      </c>
      <c r="AH605">
        <f t="shared" si="474"/>
        <v>-3821.2501976929971</v>
      </c>
      <c r="AJ605">
        <f t="shared" si="497"/>
        <v>18000</v>
      </c>
      <c r="AK605">
        <f t="shared" si="498"/>
        <v>1313365.42679958</v>
      </c>
      <c r="AL605">
        <v>1</v>
      </c>
      <c r="AM605">
        <f t="shared" si="499"/>
        <v>802.61220526641</v>
      </c>
      <c r="AN605">
        <f t="shared" si="475"/>
        <v>1636.3890383469441</v>
      </c>
      <c r="AO605">
        <f t="shared" si="476"/>
        <v>-20.38794184075671</v>
      </c>
      <c r="AQ605">
        <f t="shared" si="500"/>
        <v>6.5410347563768707E-4</v>
      </c>
      <c r="AR605">
        <f t="shared" si="501"/>
        <v>-2.5575445897433564</v>
      </c>
      <c r="AT605">
        <f t="shared" si="523"/>
        <v>-9761.8008390092837</v>
      </c>
      <c r="AU605">
        <f t="shared" si="524"/>
        <v>-43860.696403666778</v>
      </c>
      <c r="AV605">
        <f t="shared" si="511"/>
        <v>-1.7897907000025113</v>
      </c>
      <c r="AW605">
        <f t="shared" si="512"/>
        <v>40110.387729608214</v>
      </c>
      <c r="AX605">
        <f t="shared" si="513"/>
        <v>-13070.500012016792</v>
      </c>
      <c r="AY605">
        <f t="shared" si="521"/>
        <v>-0.31501245182599319</v>
      </c>
      <c r="BA605">
        <f t="shared" si="502"/>
        <v>1.0651304591773525</v>
      </c>
      <c r="BB605">
        <f t="shared" si="514"/>
        <v>0.54805608471438683</v>
      </c>
      <c r="BC605">
        <f t="shared" si="515"/>
        <v>-1.4747782481765181</v>
      </c>
      <c r="BD605">
        <f t="shared" si="503"/>
        <v>-264.49856943476527</v>
      </c>
      <c r="BF605">
        <f t="shared" si="504"/>
        <v>-51.739802040209653</v>
      </c>
      <c r="BG605">
        <f t="shared" si="505"/>
        <v>-174.94249717238148</v>
      </c>
      <c r="BH605">
        <f t="shared" si="516"/>
        <v>5.0575028276185208</v>
      </c>
      <c r="BI605">
        <f t="shared" si="517"/>
        <v>5.0575028276185208</v>
      </c>
      <c r="BJ605">
        <f t="shared" si="506"/>
        <v>0</v>
      </c>
      <c r="BK605">
        <f t="shared" si="518"/>
        <v>0</v>
      </c>
      <c r="BM605">
        <f t="shared" si="519"/>
        <v>-52.287858124924043</v>
      </c>
      <c r="BN605">
        <f t="shared" si="507"/>
        <v>-90.443927737616207</v>
      </c>
      <c r="BQ605" s="66">
        <f t="shared" si="520"/>
        <v>17.450016884999524</v>
      </c>
    </row>
    <row r="606" spans="1:69" x14ac:dyDescent="0.2">
      <c r="A606">
        <f t="shared" si="525"/>
        <v>1960000</v>
      </c>
      <c r="B606">
        <f t="shared" si="508"/>
        <v>1960</v>
      </c>
      <c r="C606">
        <f t="shared" si="477"/>
        <v>121.92302857816951</v>
      </c>
      <c r="D606">
        <f t="shared" si="478"/>
        <v>1.5625943388369947</v>
      </c>
      <c r="F606">
        <f t="shared" si="479"/>
        <v>1.3253198586178136E-6</v>
      </c>
      <c r="G606">
        <f t="shared" si="480"/>
        <v>4.7374987686054731E-4</v>
      </c>
      <c r="H606">
        <f t="shared" si="481"/>
        <v>-3.1411189001231397</v>
      </c>
      <c r="J606">
        <f t="shared" si="482"/>
        <v>15</v>
      </c>
      <c r="M606">
        <f t="shared" si="483"/>
        <v>1.7211730397703141E-3</v>
      </c>
      <c r="N606">
        <f t="shared" si="484"/>
        <v>-1.5707963250000001</v>
      </c>
      <c r="O606">
        <f t="shared" si="485"/>
        <v>580.77829766042998</v>
      </c>
      <c r="P606">
        <f t="shared" si="486"/>
        <v>1.5690744985204175</v>
      </c>
      <c r="Q606">
        <f t="shared" si="487"/>
        <v>804.66554328033806</v>
      </c>
      <c r="R606">
        <f t="shared" si="488"/>
        <v>1.5695535741186368</v>
      </c>
      <c r="S606">
        <f t="shared" si="489"/>
        <v>1.3669009326244727E-2</v>
      </c>
      <c r="T606">
        <f t="shared" si="490"/>
        <v>-1.5571268917757717</v>
      </c>
      <c r="U606">
        <f t="shared" si="491"/>
        <v>0.97631837777170705</v>
      </c>
      <c r="V606">
        <f t="shared" si="492"/>
        <v>-0.21806277492042708</v>
      </c>
      <c r="X606">
        <f t="shared" si="509"/>
        <v>-31.694469407194163</v>
      </c>
      <c r="Y606">
        <f t="shared" si="493"/>
        <v>-102.32352894694738</v>
      </c>
      <c r="Z606">
        <f t="shared" si="510"/>
        <v>77.676471053052623</v>
      </c>
      <c r="AC606">
        <v>1</v>
      </c>
      <c r="AD606">
        <f t="shared" si="494"/>
        <v>580.77743674608007</v>
      </c>
      <c r="AE606">
        <f t="shared" si="495"/>
        <v>-7.1522992161439135E-3</v>
      </c>
      <c r="AF606">
        <f t="shared" si="496"/>
        <v>3.2277728195748E-2</v>
      </c>
      <c r="AG606">
        <f t="shared" si="473"/>
        <v>17144.466469370334</v>
      </c>
      <c r="AH606">
        <f t="shared" si="474"/>
        <v>-3829.9583335102261</v>
      </c>
      <c r="AJ606">
        <f t="shared" si="497"/>
        <v>18000</v>
      </c>
      <c r="AK606">
        <f t="shared" si="498"/>
        <v>1316724.41766096</v>
      </c>
      <c r="AL606">
        <v>1</v>
      </c>
      <c r="AM606">
        <f t="shared" si="499"/>
        <v>804.66492190392</v>
      </c>
      <c r="AN606">
        <f t="shared" si="475"/>
        <v>1636.3889089104969</v>
      </c>
      <c r="AO606">
        <f t="shared" si="476"/>
        <v>-20.335931945898075</v>
      </c>
      <c r="AQ606">
        <f t="shared" si="500"/>
        <v>6.5077046993632407E-4</v>
      </c>
      <c r="AR606">
        <f t="shared" si="501"/>
        <v>-2.5510202421503902</v>
      </c>
      <c r="AT606">
        <f t="shared" si="523"/>
        <v>-9759.1441228760832</v>
      </c>
      <c r="AU606">
        <f t="shared" si="524"/>
        <v>-43738.373428016886</v>
      </c>
      <c r="AV606">
        <f t="shared" si="511"/>
        <v>-1.7903258279545202</v>
      </c>
      <c r="AW606">
        <f t="shared" si="512"/>
        <v>40101.460909770038</v>
      </c>
      <c r="AX606">
        <f t="shared" si="513"/>
        <v>-13078.619456604265</v>
      </c>
      <c r="AY606">
        <f t="shared" si="521"/>
        <v>-0.31526104393067261</v>
      </c>
      <c r="BA606">
        <f t="shared" si="502"/>
        <v>1.0624369568296084</v>
      </c>
      <c r="BB606">
        <f t="shared" si="514"/>
        <v>0.52606338407847708</v>
      </c>
      <c r="BC606">
        <f t="shared" si="515"/>
        <v>-1.4750647840238476</v>
      </c>
      <c r="BD606">
        <f t="shared" si="503"/>
        <v>-264.51498672951521</v>
      </c>
      <c r="BF606">
        <f t="shared" si="504"/>
        <v>-51.783982484110915</v>
      </c>
      <c r="BG606">
        <f t="shared" si="505"/>
        <v>-174.95778205229715</v>
      </c>
      <c r="BH606">
        <f t="shared" si="516"/>
        <v>5.0422179477028521</v>
      </c>
      <c r="BI606">
        <f t="shared" si="517"/>
        <v>5.0422179477028521</v>
      </c>
      <c r="BJ606">
        <f t="shared" si="506"/>
        <v>0</v>
      </c>
      <c r="BK606">
        <f t="shared" si="518"/>
        <v>0</v>
      </c>
      <c r="BM606">
        <f t="shared" si="519"/>
        <v>-52.310045868189398</v>
      </c>
      <c r="BN606">
        <f t="shared" si="507"/>
        <v>-90.442795322781919</v>
      </c>
      <c r="BQ606" s="66">
        <f t="shared" si="520"/>
        <v>17.428024184363615</v>
      </c>
    </row>
    <row r="607" spans="1:69" x14ac:dyDescent="0.2">
      <c r="A607">
        <f t="shared" si="525"/>
        <v>1965000</v>
      </c>
      <c r="B607">
        <f t="shared" si="508"/>
        <v>1965</v>
      </c>
      <c r="C607">
        <f t="shared" si="477"/>
        <v>122.23403581571149</v>
      </c>
      <c r="D607">
        <f t="shared" si="478"/>
        <v>1.5626152081029476</v>
      </c>
      <c r="F607">
        <f t="shared" si="479"/>
        <v>1.3185838010434244E-6</v>
      </c>
      <c r="G607">
        <f t="shared" si="480"/>
        <v>4.7254440340558908E-4</v>
      </c>
      <c r="H607">
        <f t="shared" si="481"/>
        <v>-3.1411201055965945</v>
      </c>
      <c r="J607">
        <f t="shared" si="482"/>
        <v>15</v>
      </c>
      <c r="M607">
        <f t="shared" si="483"/>
        <v>1.7167934646055039E-3</v>
      </c>
      <c r="N607">
        <f t="shared" si="484"/>
        <v>-1.5707963250000001</v>
      </c>
      <c r="O607">
        <f t="shared" si="485"/>
        <v>582.25987056355154</v>
      </c>
      <c r="P607">
        <f t="shared" si="486"/>
        <v>1.5690788797542199</v>
      </c>
      <c r="Q607">
        <f t="shared" si="487"/>
        <v>806.71825833673881</v>
      </c>
      <c r="R607">
        <f t="shared" si="488"/>
        <v>1.5695567363359435</v>
      </c>
      <c r="S607">
        <f t="shared" si="489"/>
        <v>1.3634234605833753E-2</v>
      </c>
      <c r="T607">
        <f t="shared" si="490"/>
        <v>-1.5571616697370638</v>
      </c>
      <c r="U607">
        <f t="shared" si="491"/>
        <v>0.97620168351539527</v>
      </c>
      <c r="V607">
        <f t="shared" si="492"/>
        <v>-0.2186015254193022</v>
      </c>
      <c r="X607">
        <f t="shared" si="509"/>
        <v>-31.717634829792026</v>
      </c>
      <c r="Y607">
        <f t="shared" si="493"/>
        <v>-102.35483084695046</v>
      </c>
      <c r="Z607">
        <f t="shared" si="510"/>
        <v>77.645169153049537</v>
      </c>
      <c r="AC607">
        <v>1</v>
      </c>
      <c r="AD607">
        <f t="shared" si="494"/>
        <v>582.25901183982012</v>
      </c>
      <c r="AE607">
        <f t="shared" si="495"/>
        <v>-7.1888370837295103E-3</v>
      </c>
      <c r="AF607">
        <f t="shared" si="496"/>
        <v>3.2360069339104507E-2</v>
      </c>
      <c r="AG607">
        <f t="shared" si="473"/>
        <v>17140.368336536285</v>
      </c>
      <c r="AH607">
        <f t="shared" si="474"/>
        <v>-3838.6603633251862</v>
      </c>
      <c r="AJ607">
        <f t="shared" si="497"/>
        <v>18000</v>
      </c>
      <c r="AK607">
        <f t="shared" si="498"/>
        <v>1320083.40852234</v>
      </c>
      <c r="AL607">
        <v>1</v>
      </c>
      <c r="AM607">
        <f t="shared" si="499"/>
        <v>806.71763854142989</v>
      </c>
      <c r="AN607">
        <f t="shared" si="475"/>
        <v>1636.3887804608548</v>
      </c>
      <c r="AO607">
        <f t="shared" si="476"/>
        <v>-20.28418673121497</v>
      </c>
      <c r="AQ607">
        <f t="shared" si="500"/>
        <v>6.4746287464063381E-4</v>
      </c>
      <c r="AR607">
        <f t="shared" si="501"/>
        <v>-2.5445290973376911</v>
      </c>
      <c r="AT607">
        <f t="shared" si="523"/>
        <v>-9756.4852371222369</v>
      </c>
      <c r="AU607">
        <f t="shared" si="524"/>
        <v>-43616.651361475822</v>
      </c>
      <c r="AV607">
        <f t="shared" si="511"/>
        <v>-1.7908608463341584</v>
      </c>
      <c r="AW607">
        <f t="shared" si="512"/>
        <v>40092.513031845447</v>
      </c>
      <c r="AX607">
        <f t="shared" si="513"/>
        <v>-13086.783425293941</v>
      </c>
      <c r="AY607">
        <f t="shared" si="521"/>
        <v>-0.31551086494691089</v>
      </c>
      <c r="BA607">
        <f t="shared" si="502"/>
        <v>1.0597569814723826</v>
      </c>
      <c r="BB607">
        <f t="shared" si="514"/>
        <v>0.50412572594117977</v>
      </c>
      <c r="BC607">
        <f t="shared" si="515"/>
        <v>-1.4753499813872475</v>
      </c>
      <c r="BD607">
        <f t="shared" si="503"/>
        <v>-264.53132733478498</v>
      </c>
      <c r="BF607">
        <f t="shared" si="504"/>
        <v>-51.828051348298764</v>
      </c>
      <c r="BG607">
        <f t="shared" si="505"/>
        <v>-174.97299600524624</v>
      </c>
      <c r="BH607">
        <f t="shared" si="516"/>
        <v>5.0270039947537555</v>
      </c>
      <c r="BI607">
        <f t="shared" si="517"/>
        <v>5.0270039947537555</v>
      </c>
      <c r="BJ607">
        <f t="shared" si="506"/>
        <v>0</v>
      </c>
      <c r="BK607">
        <f t="shared" si="518"/>
        <v>0</v>
      </c>
      <c r="BM607">
        <f t="shared" si="519"/>
        <v>-52.332177074239937</v>
      </c>
      <c r="BN607">
        <f t="shared" si="507"/>
        <v>-90.441668670461283</v>
      </c>
      <c r="BQ607" s="66">
        <f t="shared" si="520"/>
        <v>17.406086526226318</v>
      </c>
    </row>
    <row r="608" spans="1:69" x14ac:dyDescent="0.2">
      <c r="A608">
        <f t="shared" si="525"/>
        <v>1970000</v>
      </c>
      <c r="B608">
        <f t="shared" si="508"/>
        <v>1970</v>
      </c>
      <c r="C608">
        <f t="shared" si="477"/>
        <v>122.54504310621937</v>
      </c>
      <c r="D608">
        <f t="shared" si="478"/>
        <v>1.5626359714406126</v>
      </c>
      <c r="F608">
        <f t="shared" si="479"/>
        <v>1.3118989682142108E-6</v>
      </c>
      <c r="G608">
        <f t="shared" si="480"/>
        <v>4.7134504912821091E-4</v>
      </c>
      <c r="H608">
        <f t="shared" si="481"/>
        <v>-3.1411213049508722</v>
      </c>
      <c r="J608">
        <f t="shared" si="482"/>
        <v>15</v>
      </c>
      <c r="M608">
        <f t="shared" si="483"/>
        <v>1.7124361207867082E-3</v>
      </c>
      <c r="N608">
        <f t="shared" si="484"/>
        <v>-1.5707963250000001</v>
      </c>
      <c r="O608">
        <f t="shared" si="485"/>
        <v>583.74144347779281</v>
      </c>
      <c r="P608">
        <f t="shared" si="486"/>
        <v>1.5690832387483222</v>
      </c>
      <c r="Q608">
        <f t="shared" si="487"/>
        <v>808.77097340116552</v>
      </c>
      <c r="R608">
        <f t="shared" si="488"/>
        <v>1.5695598825014105</v>
      </c>
      <c r="S608">
        <f t="shared" si="489"/>
        <v>1.3599636357749892E-2</v>
      </c>
      <c r="T608">
        <f t="shared" si="490"/>
        <v>-1.5571962711932152</v>
      </c>
      <c r="U608">
        <f t="shared" si="491"/>
        <v>0.97608473394243622</v>
      </c>
      <c r="V608">
        <f t="shared" si="492"/>
        <v>-0.21914014698918788</v>
      </c>
      <c r="X608">
        <f t="shared" si="509"/>
        <v>-31.740746429298021</v>
      </c>
      <c r="Y608">
        <f t="shared" si="493"/>
        <v>-102.38612315945143</v>
      </c>
      <c r="Z608">
        <f t="shared" si="510"/>
        <v>77.613876840548571</v>
      </c>
      <c r="AC608">
        <v>1</v>
      </c>
      <c r="AD608">
        <f t="shared" si="494"/>
        <v>583.74058693356005</v>
      </c>
      <c r="AE608">
        <f t="shared" si="495"/>
        <v>-7.2254680414236046E-3</v>
      </c>
      <c r="AF608">
        <f t="shared" si="496"/>
        <v>3.2442410482461E-2</v>
      </c>
      <c r="AG608">
        <f t="shared" si="473"/>
        <v>17136.261728818907</v>
      </c>
      <c r="AH608">
        <f t="shared" si="474"/>
        <v>-3847.3562726952796</v>
      </c>
      <c r="AJ608">
        <f t="shared" si="497"/>
        <v>18000</v>
      </c>
      <c r="AK608">
        <f t="shared" si="498"/>
        <v>1323442.3993837198</v>
      </c>
      <c r="AL608">
        <v>1</v>
      </c>
      <c r="AM608">
        <f t="shared" si="499"/>
        <v>808.77035517894001</v>
      </c>
      <c r="AN608">
        <f t="shared" si="475"/>
        <v>1636.3886529880115</v>
      </c>
      <c r="AO608">
        <f t="shared" si="476"/>
        <v>-20.232704181388485</v>
      </c>
      <c r="AQ608">
        <f t="shared" si="500"/>
        <v>6.4418043210463858E-4</v>
      </c>
      <c r="AR608">
        <f t="shared" si="501"/>
        <v>-2.5380709024922763</v>
      </c>
      <c r="AT608">
        <f t="shared" si="523"/>
        <v>-9753.8241627638999</v>
      </c>
      <c r="AU608">
        <f t="shared" si="524"/>
        <v>-43495.525663033462</v>
      </c>
      <c r="AV608">
        <f t="shared" si="511"/>
        <v>-1.7913957547295098</v>
      </c>
      <c r="AW608">
        <f t="shared" si="512"/>
        <v>40083.544146482993</v>
      </c>
      <c r="AX608">
        <f t="shared" si="513"/>
        <v>-13094.99144214531</v>
      </c>
      <c r="AY608">
        <f t="shared" si="521"/>
        <v>-0.31576190437452978</v>
      </c>
      <c r="BA608">
        <f t="shared" si="502"/>
        <v>1.0570904319086218</v>
      </c>
      <c r="BB608">
        <f t="shared" si="514"/>
        <v>0.48224283789774525</v>
      </c>
      <c r="BC608">
        <f t="shared" si="515"/>
        <v>-1.47563385035498</v>
      </c>
      <c r="BD608">
        <f t="shared" si="503"/>
        <v>-264.54759182858936</v>
      </c>
      <c r="BF608">
        <f t="shared" si="504"/>
        <v>-51.872009192593765</v>
      </c>
      <c r="BG608">
        <f t="shared" si="505"/>
        <v>-174.98813956537077</v>
      </c>
      <c r="BH608">
        <f t="shared" si="516"/>
        <v>5.0118604346292273</v>
      </c>
      <c r="BI608">
        <f t="shared" si="517"/>
        <v>5.0118604346292273</v>
      </c>
      <c r="BJ608">
        <f t="shared" si="506"/>
        <v>0</v>
      </c>
      <c r="BK608">
        <f t="shared" si="518"/>
        <v>0</v>
      </c>
      <c r="BM608">
        <f t="shared" si="519"/>
        <v>-52.354252030491523</v>
      </c>
      <c r="BN608">
        <f t="shared" si="507"/>
        <v>-90.44054773678144</v>
      </c>
      <c r="BQ608" s="66">
        <f t="shared" si="520"/>
        <v>17.384203638182882</v>
      </c>
    </row>
    <row r="609" spans="1:69" x14ac:dyDescent="0.2">
      <c r="A609">
        <f t="shared" si="525"/>
        <v>1975000</v>
      </c>
      <c r="B609">
        <f t="shared" si="508"/>
        <v>1975</v>
      </c>
      <c r="C609">
        <f t="shared" si="477"/>
        <v>122.85605044929095</v>
      </c>
      <c r="D609">
        <f t="shared" si="478"/>
        <v>1.5626566296544369</v>
      </c>
      <c r="F609">
        <f t="shared" si="479"/>
        <v>1.3052648420547113E-6</v>
      </c>
      <c r="G609">
        <f t="shared" si="480"/>
        <v>4.7015176755341414E-4</v>
      </c>
      <c r="H609">
        <f t="shared" si="481"/>
        <v>-3.1411224982324466</v>
      </c>
      <c r="J609">
        <f t="shared" si="482"/>
        <v>15</v>
      </c>
      <c r="M609">
        <f t="shared" si="483"/>
        <v>1.7081008394682609E-3</v>
      </c>
      <c r="N609">
        <f t="shared" si="484"/>
        <v>-1.5707963250000001</v>
      </c>
      <c r="O609">
        <f t="shared" si="485"/>
        <v>585.22301640306955</v>
      </c>
      <c r="P609">
        <f t="shared" si="486"/>
        <v>1.5690875756716329</v>
      </c>
      <c r="Q609">
        <f t="shared" si="487"/>
        <v>810.82368847355713</v>
      </c>
      <c r="R609">
        <f t="shared" si="488"/>
        <v>1.56956301273695</v>
      </c>
      <c r="S609">
        <f t="shared" si="489"/>
        <v>1.3565213242192165E-2</v>
      </c>
      <c r="T609">
        <f t="shared" si="490"/>
        <v>-1.5572306974844412</v>
      </c>
      <c r="U609">
        <f t="shared" si="491"/>
        <v>0.97596752934811504</v>
      </c>
      <c r="V609">
        <f t="shared" si="492"/>
        <v>-0.2196786393639498</v>
      </c>
      <c r="X609">
        <f t="shared" si="509"/>
        <v>-31.763804488850703</v>
      </c>
      <c r="Y609">
        <f t="shared" si="493"/>
        <v>-102.41740588589904</v>
      </c>
      <c r="Z609">
        <f t="shared" si="510"/>
        <v>77.582594114100957</v>
      </c>
      <c r="AC609">
        <v>1</v>
      </c>
      <c r="AD609">
        <f t="shared" si="494"/>
        <v>585.2221620273001</v>
      </c>
      <c r="AE609">
        <f t="shared" si="495"/>
        <v>-7.2621920892261974E-3</v>
      </c>
      <c r="AF609">
        <f t="shared" si="496"/>
        <v>3.25247516258175E-2</v>
      </c>
      <c r="AG609">
        <f t="shared" si="473"/>
        <v>17132.146659807411</v>
      </c>
      <c r="AH609">
        <f t="shared" si="474"/>
        <v>-3856.0460472436921</v>
      </c>
      <c r="AJ609">
        <f t="shared" si="497"/>
        <v>18000</v>
      </c>
      <c r="AK609">
        <f t="shared" si="498"/>
        <v>1326801.3902451</v>
      </c>
      <c r="AL609">
        <v>1</v>
      </c>
      <c r="AM609">
        <f t="shared" si="499"/>
        <v>810.8230718164499</v>
      </c>
      <c r="AN609">
        <f t="shared" si="475"/>
        <v>1636.3885264820892</v>
      </c>
      <c r="AO609">
        <f t="shared" si="476"/>
        <v>-20.181482301507849</v>
      </c>
      <c r="AQ609">
        <f t="shared" si="500"/>
        <v>6.4092288793956816E-4</v>
      </c>
      <c r="AR609">
        <f t="shared" si="501"/>
        <v>-2.5316454073612942</v>
      </c>
      <c r="AT609">
        <f t="shared" si="523"/>
        <v>-9751.1608811643564</v>
      </c>
      <c r="AU609">
        <f t="shared" si="524"/>
        <v>-43374.991837710193</v>
      </c>
      <c r="AV609">
        <f t="shared" si="511"/>
        <v>-1.7919305527305567</v>
      </c>
      <c r="AW609">
        <f t="shared" si="512"/>
        <v>40074.554304116733</v>
      </c>
      <c r="AX609">
        <f t="shared" si="513"/>
        <v>-13103.243035857136</v>
      </c>
      <c r="AY609">
        <f t="shared" si="521"/>
        <v>-0.31601415181612191</v>
      </c>
      <c r="BA609">
        <f t="shared" si="502"/>
        <v>1.0544372079436362</v>
      </c>
      <c r="BB609">
        <f t="shared" si="514"/>
        <v>0.46041444954147992</v>
      </c>
      <c r="BC609">
        <f t="shared" si="515"/>
        <v>-1.4759164009144348</v>
      </c>
      <c r="BD609">
        <f t="shared" si="503"/>
        <v>-264.56378078316368</v>
      </c>
      <c r="BF609">
        <f t="shared" si="504"/>
        <v>-51.915856572632215</v>
      </c>
      <c r="BG609">
        <f t="shared" si="505"/>
        <v>-175.00321326147741</v>
      </c>
      <c r="BH609">
        <f t="shared" si="516"/>
        <v>4.9967867385225873</v>
      </c>
      <c r="BI609">
        <f t="shared" si="517"/>
        <v>4.9967867385225873</v>
      </c>
      <c r="BJ609">
        <f t="shared" si="506"/>
        <v>0</v>
      </c>
      <c r="BK609">
        <f t="shared" si="518"/>
        <v>0</v>
      </c>
      <c r="BM609">
        <f t="shared" si="519"/>
        <v>-52.376271022173697</v>
      </c>
      <c r="BN609">
        <f t="shared" si="507"/>
        <v>-90.439432478313748</v>
      </c>
      <c r="BQ609" s="66">
        <f t="shared" si="520"/>
        <v>17.362375249826616</v>
      </c>
    </row>
    <row r="610" spans="1:69" x14ac:dyDescent="0.2">
      <c r="A610">
        <f t="shared" si="525"/>
        <v>1980000</v>
      </c>
      <c r="B610">
        <f t="shared" si="508"/>
        <v>1980</v>
      </c>
      <c r="C610">
        <f t="shared" si="477"/>
        <v>123.16705784452799</v>
      </c>
      <c r="D610">
        <f t="shared" si="478"/>
        <v>1.5626771835407429</v>
      </c>
      <c r="F610">
        <f t="shared" si="479"/>
        <v>1.2986809110225673E-6</v>
      </c>
      <c r="G610">
        <f t="shared" si="480"/>
        <v>4.6896451267564813E-4</v>
      </c>
      <c r="H610">
        <f t="shared" si="481"/>
        <v>-3.1411236854873246</v>
      </c>
      <c r="J610">
        <f t="shared" si="482"/>
        <v>15</v>
      </c>
      <c r="M610">
        <f t="shared" si="483"/>
        <v>1.7037874535100078E-3</v>
      </c>
      <c r="N610">
        <f t="shared" si="484"/>
        <v>-1.5707963250000001</v>
      </c>
      <c r="O610">
        <f t="shared" si="485"/>
        <v>586.70458933929808</v>
      </c>
      <c r="P610">
        <f t="shared" si="486"/>
        <v>1.5690918906913542</v>
      </c>
      <c r="Q610">
        <f t="shared" si="487"/>
        <v>812.87640355385338</v>
      </c>
      <c r="R610">
        <f t="shared" si="488"/>
        <v>1.5695661271632431</v>
      </c>
      <c r="S610">
        <f t="shared" si="489"/>
        <v>1.3530963932886705E-2</v>
      </c>
      <c r="T610">
        <f t="shared" si="490"/>
        <v>-1.5572649499374236</v>
      </c>
      <c r="U610">
        <f t="shared" si="491"/>
        <v>0.9758500700281677</v>
      </c>
      <c r="V610">
        <f t="shared" si="492"/>
        <v>-0.22021700227788082</v>
      </c>
      <c r="X610">
        <f t="shared" si="509"/>
        <v>-31.786809289425303</v>
      </c>
      <c r="Y610">
        <f t="shared" si="493"/>
        <v>-102.44867902759829</v>
      </c>
      <c r="Z610">
        <f t="shared" si="510"/>
        <v>77.551320972401712</v>
      </c>
      <c r="AC610">
        <v>1</v>
      </c>
      <c r="AD610">
        <f t="shared" si="494"/>
        <v>586.70373712104004</v>
      </c>
      <c r="AE610">
        <f t="shared" si="495"/>
        <v>-7.2990092271372868E-3</v>
      </c>
      <c r="AF610">
        <f t="shared" si="496"/>
        <v>3.2607092769174E-2</v>
      </c>
      <c r="AG610">
        <f t="shared" si="473"/>
        <v>17128.02314310888</v>
      </c>
      <c r="AH610">
        <f t="shared" si="474"/>
        <v>-3864.7296726590375</v>
      </c>
      <c r="AJ610">
        <f t="shared" si="497"/>
        <v>18000</v>
      </c>
      <c r="AK610">
        <f t="shared" si="498"/>
        <v>1330160.38110648</v>
      </c>
      <c r="AL610">
        <v>1</v>
      </c>
      <c r="AM610">
        <f t="shared" si="499"/>
        <v>812.87578845396001</v>
      </c>
      <c r="AN610">
        <f t="shared" si="475"/>
        <v>1636.3884009333319</v>
      </c>
      <c r="AO610">
        <f t="shared" si="476"/>
        <v>-20.130519116812735</v>
      </c>
      <c r="AQ610">
        <f t="shared" si="500"/>
        <v>6.3768999096457048E-4</v>
      </c>
      <c r="AR610">
        <f t="shared" si="501"/>
        <v>-2.5252523642196993</v>
      </c>
      <c r="AT610">
        <f t="shared" si="523"/>
        <v>-9748.4953740288893</v>
      </c>
      <c r="AU610">
        <f t="shared" si="524"/>
        <v>-43255.045435975466</v>
      </c>
      <c r="AV610">
        <f t="shared" si="511"/>
        <v>-1.7924652399291621</v>
      </c>
      <c r="AW610">
        <f t="shared" si="512"/>
        <v>40065.543554969867</v>
      </c>
      <c r="AX610">
        <f t="shared" si="513"/>
        <v>-13111.537739709891</v>
      </c>
      <c r="AY610">
        <f t="shared" si="521"/>
        <v>-0.31626759697577767</v>
      </c>
      <c r="BA610">
        <f t="shared" si="502"/>
        <v>1.0517972103727802</v>
      </c>
      <c r="BB610">
        <f t="shared" si="514"/>
        <v>0.4386402924444785</v>
      </c>
      <c r="BC610">
        <f t="shared" si="515"/>
        <v>-1.4761976429533843</v>
      </c>
      <c r="BD610">
        <f t="shared" si="503"/>
        <v>-264.57989476503553</v>
      </c>
      <c r="BF610">
        <f t="shared" si="504"/>
        <v>-51.959594039907401</v>
      </c>
      <c r="BG610">
        <f t="shared" si="505"/>
        <v>-175.0182176171038</v>
      </c>
      <c r="BH610">
        <f t="shared" si="516"/>
        <v>4.9817823828961991</v>
      </c>
      <c r="BI610">
        <f t="shared" si="517"/>
        <v>4.9817823828961991</v>
      </c>
      <c r="BJ610">
        <f t="shared" si="506"/>
        <v>0</v>
      </c>
      <c r="BK610">
        <f t="shared" si="518"/>
        <v>0</v>
      </c>
      <c r="BM610">
        <f t="shared" si="519"/>
        <v>-52.398234332351876</v>
      </c>
      <c r="BN610">
        <f t="shared" si="507"/>
        <v>-90.438322852068254</v>
      </c>
      <c r="BQ610" s="66">
        <f t="shared" si="520"/>
        <v>17.340601092729614</v>
      </c>
    </row>
    <row r="611" spans="1:69" x14ac:dyDescent="0.2">
      <c r="A611">
        <f t="shared" si="525"/>
        <v>1985000</v>
      </c>
      <c r="B611">
        <f t="shared" si="508"/>
        <v>1985</v>
      </c>
      <c r="C611">
        <f t="shared" si="477"/>
        <v>123.47806529153635</v>
      </c>
      <c r="D611">
        <f t="shared" si="478"/>
        <v>1.5626976338878307</v>
      </c>
      <c r="F611">
        <f t="shared" si="479"/>
        <v>1.2921466700099105E-6</v>
      </c>
      <c r="G611">
        <f t="shared" si="480"/>
        <v>4.6778323895289641E-4</v>
      </c>
      <c r="H611">
        <f t="shared" si="481"/>
        <v>-3.1411248667610474</v>
      </c>
      <c r="J611">
        <f t="shared" si="482"/>
        <v>15</v>
      </c>
      <c r="M611">
        <f t="shared" si="483"/>
        <v>1.6994957974558263E-3</v>
      </c>
      <c r="N611">
        <f t="shared" si="484"/>
        <v>-1.5707963250000001</v>
      </c>
      <c r="O611">
        <f t="shared" si="485"/>
        <v>588.18616228639576</v>
      </c>
      <c r="P611">
        <f t="shared" si="486"/>
        <v>1.569096183973004</v>
      </c>
      <c r="Q611">
        <f t="shared" si="487"/>
        <v>814.92911864199459</v>
      </c>
      <c r="R611">
        <f t="shared" si="488"/>
        <v>1.5695692258997547</v>
      </c>
      <c r="S611">
        <f t="shared" si="489"/>
        <v>1.34968871169165E-2</v>
      </c>
      <c r="T611">
        <f t="shared" si="490"/>
        <v>-1.557299029865481</v>
      </c>
      <c r="U611">
        <f t="shared" si="491"/>
        <v>0.97573235627877863</v>
      </c>
      <c r="V611">
        <f t="shared" si="492"/>
        <v>-0.2207552354657018</v>
      </c>
      <c r="X611">
        <f t="shared" si="509"/>
        <v>-31.809761109855479</v>
      </c>
      <c r="Y611">
        <f t="shared" si="493"/>
        <v>-102.47994258571218</v>
      </c>
      <c r="Z611">
        <f t="shared" si="510"/>
        <v>77.52005741428782</v>
      </c>
      <c r="AC611">
        <v>1</v>
      </c>
      <c r="AD611">
        <f t="shared" si="494"/>
        <v>588.18531221478008</v>
      </c>
      <c r="AE611">
        <f t="shared" si="495"/>
        <v>-7.3359194551568764E-3</v>
      </c>
      <c r="AF611">
        <f t="shared" si="496"/>
        <v>3.2689433912530506E-2</v>
      </c>
      <c r="AG611">
        <f t="shared" si="473"/>
        <v>17123.891192348139</v>
      </c>
      <c r="AH611">
        <f t="shared" si="474"/>
        <v>-3873.4071346949954</v>
      </c>
      <c r="AJ611">
        <f t="shared" si="497"/>
        <v>18000</v>
      </c>
      <c r="AK611">
        <f t="shared" si="498"/>
        <v>1333519.37196786</v>
      </c>
      <c r="AL611">
        <v>1</v>
      </c>
      <c r="AM611">
        <f t="shared" si="499"/>
        <v>814.92850509147002</v>
      </c>
      <c r="AN611">
        <f t="shared" si="475"/>
        <v>1636.3882763321083</v>
      </c>
      <c r="AO611">
        <f t="shared" si="476"/>
        <v>-20.07981267243952</v>
      </c>
      <c r="AQ611">
        <f t="shared" si="500"/>
        <v>6.344814931582909E-4</v>
      </c>
      <c r="AR611">
        <f t="shared" si="501"/>
        <v>-2.5188915278384147</v>
      </c>
      <c r="AT611">
        <f t="shared" si="523"/>
        <v>-9745.8276233996912</v>
      </c>
      <c r="AU611">
        <f t="shared" si="524"/>
        <v>-43135.682053175005</v>
      </c>
      <c r="AV611">
        <f t="shared" si="511"/>
        <v>-1.7929998159190523</v>
      </c>
      <c r="AW611">
        <f t="shared" si="512"/>
        <v>40056.511949058229</v>
      </c>
      <c r="AX611">
        <f t="shared" si="513"/>
        <v>-13119.875091509146</v>
      </c>
      <c r="AY611">
        <f t="shared" si="521"/>
        <v>-0.31652222965783344</v>
      </c>
      <c r="BA611">
        <f t="shared" si="502"/>
        <v>1.0491703409693036</v>
      </c>
      <c r="BB611">
        <f t="shared" si="514"/>
        <v>0.41692010013849701</v>
      </c>
      <c r="BC611">
        <f t="shared" si="515"/>
        <v>-1.4764775862612189</v>
      </c>
      <c r="BD611">
        <f t="shared" si="503"/>
        <v>-264.59593433509576</v>
      </c>
      <c r="BF611">
        <f t="shared" si="504"/>
        <v>-52.003222141810646</v>
      </c>
      <c r="BG611">
        <f t="shared" si="505"/>
        <v>-175.03315315058376</v>
      </c>
      <c r="BH611">
        <f t="shared" si="516"/>
        <v>4.9668468494162425</v>
      </c>
      <c r="BI611">
        <f t="shared" si="517"/>
        <v>4.9668468494162425</v>
      </c>
      <c r="BJ611">
        <f t="shared" si="506"/>
        <v>0</v>
      </c>
      <c r="BK611">
        <f t="shared" si="518"/>
        <v>0</v>
      </c>
      <c r="BM611">
        <f t="shared" si="519"/>
        <v>-52.420142241949151</v>
      </c>
      <c r="BN611">
        <f t="shared" si="507"/>
        <v>-90.437218815488052</v>
      </c>
      <c r="BQ611" s="66">
        <f t="shared" si="520"/>
        <v>17.318880900423636</v>
      </c>
    </row>
    <row r="612" spans="1:69" x14ac:dyDescent="0.2">
      <c r="A612">
        <f t="shared" si="525"/>
        <v>1990000</v>
      </c>
      <c r="B612">
        <f t="shared" si="508"/>
        <v>1990</v>
      </c>
      <c r="C612">
        <f t="shared" si="477"/>
        <v>123.78907278992583</v>
      </c>
      <c r="D612">
        <f t="shared" si="478"/>
        <v>1.5627179814760785</v>
      </c>
      <c r="F612">
        <f t="shared" si="479"/>
        <v>1.2856616202464814E-6</v>
      </c>
      <c r="G612">
        <f t="shared" si="480"/>
        <v>4.6660790130085471E-4</v>
      </c>
      <c r="H612">
        <f t="shared" si="481"/>
        <v>-3.1411260420986995</v>
      </c>
      <c r="J612">
        <f t="shared" si="482"/>
        <v>15</v>
      </c>
      <c r="M612">
        <f t="shared" si="483"/>
        <v>1.6952257075124699E-3</v>
      </c>
      <c r="N612">
        <f t="shared" si="484"/>
        <v>-1.5707963250000001</v>
      </c>
      <c r="O612">
        <f t="shared" si="485"/>
        <v>589.66773524428049</v>
      </c>
      <c r="P612">
        <f t="shared" si="486"/>
        <v>1.5691004556804364</v>
      </c>
      <c r="Q612">
        <f t="shared" si="487"/>
        <v>816.98183373792153</v>
      </c>
      <c r="R612">
        <f t="shared" si="488"/>
        <v>1.5695723090647495</v>
      </c>
      <c r="S612">
        <f t="shared" si="489"/>
        <v>1.3462981494553663E-2</v>
      </c>
      <c r="T612">
        <f t="shared" si="490"/>
        <v>-1.5573329385687376</v>
      </c>
      <c r="U612">
        <f t="shared" si="491"/>
        <v>0.97561438839657899</v>
      </c>
      <c r="V612">
        <f t="shared" si="492"/>
        <v>-0.22129333866256207</v>
      </c>
      <c r="X612">
        <f t="shared" si="509"/>
        <v>-31.832660226854863</v>
      </c>
      <c r="Y612">
        <f t="shared" si="493"/>
        <v>-102.51119656126399</v>
      </c>
      <c r="Z612">
        <f t="shared" si="510"/>
        <v>77.488803438736014</v>
      </c>
      <c r="AC612">
        <v>1</v>
      </c>
      <c r="AD612">
        <f t="shared" si="494"/>
        <v>589.66688730852002</v>
      </c>
      <c r="AE612">
        <f t="shared" si="495"/>
        <v>-7.3729227732849643E-3</v>
      </c>
      <c r="AF612">
        <f t="shared" si="496"/>
        <v>3.2771775055886999E-2</v>
      </c>
      <c r="AG612">
        <f t="shared" si="473"/>
        <v>17119.750821167672</v>
      </c>
      <c r="AH612">
        <f t="shared" si="474"/>
        <v>-3882.0784191699531</v>
      </c>
      <c r="AJ612">
        <f t="shared" si="497"/>
        <v>18000</v>
      </c>
      <c r="AK612">
        <f t="shared" si="498"/>
        <v>1336878.36282924</v>
      </c>
      <c r="AL612">
        <v>1</v>
      </c>
      <c r="AM612">
        <f t="shared" si="499"/>
        <v>816.98122172898002</v>
      </c>
      <c r="AN612">
        <f t="shared" si="475"/>
        <v>1636.3881526689081</v>
      </c>
      <c r="AO612">
        <f t="shared" si="476"/>
        <v>-20.02936103317127</v>
      </c>
      <c r="AQ612">
        <f t="shared" si="500"/>
        <v>6.3129714961130084E-4</v>
      </c>
      <c r="AR612">
        <f t="shared" si="501"/>
        <v>-2.5125626554529776</v>
      </c>
      <c r="AT612">
        <f t="shared" si="523"/>
        <v>-9743.157611650895</v>
      </c>
      <c r="AU612">
        <f t="shared" si="524"/>
        <v>-43016.89732896693</v>
      </c>
      <c r="AV612">
        <f t="shared" si="511"/>
        <v>-1.793534280295799</v>
      </c>
      <c r="AW612">
        <f t="shared" si="512"/>
        <v>40047.45953619387</v>
      </c>
      <c r="AX612">
        <f t="shared" si="513"/>
        <v>-13128.254633529694</v>
      </c>
      <c r="AY612">
        <f t="shared" si="521"/>
        <v>-0.31677803976563451</v>
      </c>
      <c r="BA612">
        <f t="shared" si="502"/>
        <v>1.0465565024723935</v>
      </c>
      <c r="BB612">
        <f t="shared" si="514"/>
        <v>0.3952536080961695</v>
      </c>
      <c r="BC612">
        <f t="shared" si="515"/>
        <v>-1.4767562405301644</v>
      </c>
      <c r="BD612">
        <f t="shared" si="503"/>
        <v>-264.61190004866785</v>
      </c>
      <c r="BF612">
        <f t="shared" si="504"/>
        <v>-52.046741421671655</v>
      </c>
      <c r="BG612">
        <f t="shared" si="505"/>
        <v>-175.04802037511175</v>
      </c>
      <c r="BH612">
        <f t="shared" si="516"/>
        <v>4.9519796248882528</v>
      </c>
      <c r="BI612">
        <f t="shared" si="517"/>
        <v>4.9519796248882528</v>
      </c>
      <c r="BJ612">
        <f t="shared" si="506"/>
        <v>0</v>
      </c>
      <c r="BK612">
        <f t="shared" si="518"/>
        <v>0</v>
      </c>
      <c r="BM612">
        <f t="shared" si="519"/>
        <v>-52.441995029767831</v>
      </c>
      <c r="BN612">
        <f t="shared" si="507"/>
        <v>-90.436120326443898</v>
      </c>
      <c r="BQ612" s="66">
        <f t="shared" si="520"/>
        <v>17.297214408381308</v>
      </c>
    </row>
    <row r="613" spans="1:69" x14ac:dyDescent="0.2">
      <c r="A613">
        <f t="shared" si="525"/>
        <v>1995000</v>
      </c>
      <c r="B613">
        <f t="shared" si="508"/>
        <v>1995</v>
      </c>
      <c r="C613">
        <f t="shared" si="477"/>
        <v>124.10008033931011</v>
      </c>
      <c r="D613">
        <f t="shared" si="478"/>
        <v>1.5627382270780421</v>
      </c>
      <c r="F613">
        <f t="shared" si="479"/>
        <v>1.2792252692044475E-6</v>
      </c>
      <c r="G613">
        <f t="shared" si="480"/>
        <v>4.6543845508719404E-4</v>
      </c>
      <c r="H613">
        <f t="shared" si="481"/>
        <v>-3.1411272115449131</v>
      </c>
      <c r="J613">
        <f t="shared" si="482"/>
        <v>15</v>
      </c>
      <c r="M613">
        <f t="shared" si="483"/>
        <v>1.6909770215287295E-3</v>
      </c>
      <c r="N613">
        <f t="shared" si="484"/>
        <v>-1.5707963250000001</v>
      </c>
      <c r="O613">
        <f t="shared" si="485"/>
        <v>591.14930821287123</v>
      </c>
      <c r="P613">
        <f t="shared" si="486"/>
        <v>1.5691047059758627</v>
      </c>
      <c r="Q613">
        <f t="shared" si="487"/>
        <v>819.03454884157566</v>
      </c>
      <c r="R613">
        <f t="shared" si="488"/>
        <v>1.5695753767753065</v>
      </c>
      <c r="S613">
        <f t="shared" si="489"/>
        <v>1.3429245779094256E-2</v>
      </c>
      <c r="T613">
        <f t="shared" si="490"/>
        <v>-1.5573666773342865</v>
      </c>
      <c r="U613">
        <f t="shared" si="491"/>
        <v>0.97549616667864503</v>
      </c>
      <c r="V613">
        <f t="shared" si="492"/>
        <v>-0.22183131160403996</v>
      </c>
      <c r="X613">
        <f t="shared" si="509"/>
        <v>-31.855506915038259</v>
      </c>
      <c r="Y613">
        <f t="shared" si="493"/>
        <v>-102.54244095513944</v>
      </c>
      <c r="Z613">
        <f t="shared" si="510"/>
        <v>77.45755904486056</v>
      </c>
      <c r="AC613">
        <v>1</v>
      </c>
      <c r="AD613">
        <f t="shared" si="494"/>
        <v>591.14846240226007</v>
      </c>
      <c r="AE613">
        <f t="shared" si="495"/>
        <v>-7.4100191815215499E-3</v>
      </c>
      <c r="AF613">
        <f t="shared" si="496"/>
        <v>3.2854116199243499E-2</v>
      </c>
      <c r="AG613">
        <f t="shared" si="473"/>
        <v>17115.602043227525</v>
      </c>
      <c r="AH613">
        <f t="shared" si="474"/>
        <v>-3890.7435119666607</v>
      </c>
      <c r="AJ613">
        <f t="shared" si="497"/>
        <v>18000</v>
      </c>
      <c r="AK613">
        <f t="shared" si="498"/>
        <v>1340237.3536906198</v>
      </c>
      <c r="AL613">
        <v>1</v>
      </c>
      <c r="AM613">
        <f t="shared" si="499"/>
        <v>819.03393836649002</v>
      </c>
      <c r="AN613">
        <f t="shared" si="475"/>
        <v>1636.3880299343386</v>
      </c>
      <c r="AO613">
        <f t="shared" si="476"/>
        <v>-19.979162283191613</v>
      </c>
      <c r="AQ613">
        <f t="shared" si="500"/>
        <v>6.2813671847936146E-4</v>
      </c>
      <c r="AR613">
        <f t="shared" si="501"/>
        <v>-2.5062655067326518</v>
      </c>
      <c r="AT613">
        <f t="shared" si="523"/>
        <v>-9740.4853214836676</v>
      </c>
      <c r="AU613">
        <f t="shared" si="524"/>
        <v>-42898.686946766094</v>
      </c>
      <c r="AV613">
        <f t="shared" si="511"/>
        <v>-1.7940686326568018</v>
      </c>
      <c r="AW613">
        <f t="shared" si="512"/>
        <v>40038.38636598835</v>
      </c>
      <c r="AX613">
        <f t="shared" si="513"/>
        <v>-13136.67591246062</v>
      </c>
      <c r="AY613">
        <f t="shared" si="521"/>
        <v>-0.31703501730032002</v>
      </c>
      <c r="BA613">
        <f t="shared" si="502"/>
        <v>1.043955598575381</v>
      </c>
      <c r="BB613">
        <f t="shared" si="514"/>
        <v>0.37364055371236693</v>
      </c>
      <c r="BC613">
        <f t="shared" si="515"/>
        <v>-1.4770336153564818</v>
      </c>
      <c r="BD613">
        <f t="shared" si="503"/>
        <v>-264.62779245557715</v>
      </c>
      <c r="BF613">
        <f t="shared" si="504"/>
        <v>-52.090152418798425</v>
      </c>
      <c r="BG613">
        <f t="shared" si="505"/>
        <v>-175.062819798806</v>
      </c>
      <c r="BH613">
        <f t="shared" si="516"/>
        <v>4.9371802011939963</v>
      </c>
      <c r="BI613">
        <f t="shared" si="517"/>
        <v>4.9371802011939963</v>
      </c>
      <c r="BJ613">
        <f t="shared" si="506"/>
        <v>0</v>
      </c>
      <c r="BK613">
        <f t="shared" si="518"/>
        <v>0</v>
      </c>
      <c r="BM613">
        <f t="shared" si="519"/>
        <v>-52.463792972510788</v>
      </c>
      <c r="BN613">
        <f t="shared" si="507"/>
        <v>-90.435027343228853</v>
      </c>
      <c r="BQ613" s="66">
        <f t="shared" si="520"/>
        <v>17.275601353997502</v>
      </c>
    </row>
    <row r="614" spans="1:69" x14ac:dyDescent="0.2">
      <c r="A614">
        <f t="shared" si="525"/>
        <v>2000000</v>
      </c>
      <c r="B614">
        <f t="shared" si="508"/>
        <v>2000</v>
      </c>
      <c r="C614">
        <f t="shared" si="477"/>
        <v>124.41108793930677</v>
      </c>
      <c r="D614">
        <f t="shared" si="478"/>
        <v>1.5627583714585522</v>
      </c>
      <c r="F614">
        <f t="shared" si="479"/>
        <v>1.2728371305048832E-6</v>
      </c>
      <c r="G614">
        <f t="shared" si="480"/>
        <v>4.6427485612591163E-4</v>
      </c>
      <c r="H614">
        <f t="shared" si="481"/>
        <v>-3.1411283751438743</v>
      </c>
      <c r="J614">
        <f t="shared" si="482"/>
        <v>15</v>
      </c>
      <c r="M614">
        <f t="shared" si="483"/>
        <v>1.6867495789749075E-3</v>
      </c>
      <c r="N614">
        <f t="shared" si="484"/>
        <v>-1.5707963250000001</v>
      </c>
      <c r="O614">
        <f t="shared" si="485"/>
        <v>592.63088119208783</v>
      </c>
      <c r="P614">
        <f t="shared" si="486"/>
        <v>1.5691089350198728</v>
      </c>
      <c r="Q614">
        <f t="shared" si="487"/>
        <v>821.08726395289909</v>
      </c>
      <c r="R614">
        <f t="shared" si="488"/>
        <v>1.5695784291473331</v>
      </c>
      <c r="S614">
        <f t="shared" si="489"/>
        <v>1.3395678696695584E-2</v>
      </c>
      <c r="T614">
        <f t="shared" si="490"/>
        <v>-1.5574002474363549</v>
      </c>
      <c r="U614">
        <f t="shared" si="491"/>
        <v>0.97537769142249564</v>
      </c>
      <c r="V614">
        <f t="shared" si="492"/>
        <v>-0.22236915402614341</v>
      </c>
      <c r="X614">
        <f t="shared" si="509"/>
        <v>-31.878301446942693</v>
      </c>
      <c r="Y614">
        <f t="shared" si="493"/>
        <v>-102.57367576808871</v>
      </c>
      <c r="Z614">
        <f t="shared" si="510"/>
        <v>77.426324231911295</v>
      </c>
      <c r="AC614">
        <v>1</v>
      </c>
      <c r="AD614">
        <f t="shared" si="494"/>
        <v>592.63003749600011</v>
      </c>
      <c r="AE614">
        <f t="shared" si="495"/>
        <v>-7.4472086798666338E-3</v>
      </c>
      <c r="AF614">
        <f t="shared" si="496"/>
        <v>3.2936457342600006E-2</v>
      </c>
      <c r="AG614">
        <f t="shared" si="473"/>
        <v>17111.444872205164</v>
      </c>
      <c r="AH614">
        <f t="shared" si="474"/>
        <v>-3899.4023990318824</v>
      </c>
      <c r="AJ614">
        <f t="shared" si="497"/>
        <v>18000</v>
      </c>
      <c r="AK614">
        <f t="shared" si="498"/>
        <v>1343596.3445519998</v>
      </c>
      <c r="AL614">
        <v>1</v>
      </c>
      <c r="AM614">
        <f t="shared" si="499"/>
        <v>821.08665500399991</v>
      </c>
      <c r="AN614">
        <f t="shared" si="475"/>
        <v>1636.3879081191258</v>
      </c>
      <c r="AO614">
        <f t="shared" si="476"/>
        <v>-19.929214525842173</v>
      </c>
      <c r="AQ614">
        <f t="shared" si="500"/>
        <v>6.2499996093750242E-4</v>
      </c>
      <c r="AR614">
        <f t="shared" si="501"/>
        <v>-2.4999998437500097</v>
      </c>
      <c r="AT614">
        <f t="shared" si="523"/>
        <v>-9737.8107359214064</v>
      </c>
      <c r="AU614">
        <f t="shared" si="524"/>
        <v>-42781.046633196893</v>
      </c>
      <c r="AV614">
        <f t="shared" si="511"/>
        <v>-1.7946028726012719</v>
      </c>
      <c r="AW614">
        <f t="shared" si="512"/>
        <v>40029.292487856255</v>
      </c>
      <c r="AX614">
        <f t="shared" si="513"/>
        <v>-13145.138479351132</v>
      </c>
      <c r="AY614">
        <f t="shared" si="521"/>
        <v>-0.3172931523596228</v>
      </c>
      <c r="BA614">
        <f t="shared" si="502"/>
        <v>1.0413675339141197</v>
      </c>
      <c r="BB614">
        <f t="shared" si="514"/>
        <v>0.35208067628577694</v>
      </c>
      <c r="BC614">
        <f t="shared" si="515"/>
        <v>-1.4773097202416492</v>
      </c>
      <c r="BD614">
        <f t="shared" si="503"/>
        <v>-264.64361210021826</v>
      </c>
      <c r="BF614">
        <f t="shared" si="504"/>
        <v>-52.133455668516682</v>
      </c>
      <c r="BG614">
        <f t="shared" si="505"/>
        <v>-175.07755192477126</v>
      </c>
      <c r="BH614">
        <f t="shared" si="516"/>
        <v>4.9224480752287434</v>
      </c>
      <c r="BI614">
        <f t="shared" si="517"/>
        <v>4.9224480752287434</v>
      </c>
      <c r="BJ614">
        <f t="shared" si="506"/>
        <v>0</v>
      </c>
      <c r="BK614">
        <f t="shared" si="518"/>
        <v>0</v>
      </c>
      <c r="BM614">
        <f t="shared" si="519"/>
        <v>-52.485536344802462</v>
      </c>
      <c r="BN614">
        <f t="shared" si="507"/>
        <v>-90.433939824552994</v>
      </c>
      <c r="BQ614" s="66">
        <f t="shared" si="520"/>
        <v>17.254041476570915</v>
      </c>
    </row>
    <row r="615" spans="1:69" x14ac:dyDescent="0.2">
      <c r="A615">
        <f>A614+250000</f>
        <v>2250000</v>
      </c>
      <c r="B615">
        <f t="shared" si="508"/>
        <v>2250</v>
      </c>
      <c r="C615">
        <f t="shared" si="477"/>
        <v>139.96152501343869</v>
      </c>
      <c r="D615">
        <f t="shared" ref="D615:D626" si="526">ATAN(A615/Fesr)</f>
        <v>1.5636514453128139</v>
      </c>
      <c r="F615">
        <f t="shared" si="479"/>
        <v>1.0056982252960871E-6</v>
      </c>
      <c r="G615">
        <f t="shared" ref="G615:G626" si="527">-ATAN(A615*Fo/(Q*(Fo^2-A615^2)))</f>
        <v>4.1268865604463515E-4</v>
      </c>
      <c r="H615">
        <f t="shared" si="481"/>
        <v>-3.1411799613439557</v>
      </c>
      <c r="J615">
        <f t="shared" si="482"/>
        <v>15</v>
      </c>
      <c r="M615">
        <f t="shared" ref="M615:M626" si="528">1/(2*Pi*_Rfb1*(Cc1ea_u+Cc2ea_u)*A615)</f>
        <v>1.4993329590888068E-3</v>
      </c>
      <c r="N615">
        <f t="shared" si="484"/>
        <v>-1.5707963250000001</v>
      </c>
      <c r="O615">
        <f t="shared" ref="O615:O626" si="529">SQRT(1+(A615/Fz1_u)^2)</f>
        <v>666.70954213519008</v>
      </c>
      <c r="P615">
        <f t="shared" si="486"/>
        <v>1.5692964226961048</v>
      </c>
      <c r="Q615">
        <f t="shared" ref="Q615:Q626" si="530">SQRT(1+(A615/Fz2_u)^2)</f>
        <v>923.72302816745241</v>
      </c>
      <c r="R615">
        <f t="shared" si="488"/>
        <v>1.5697137509958368</v>
      </c>
      <c r="S615">
        <f t="shared" ref="S615:S626" si="531">1/SQRT(1+(A615/Fp1_u)^2)</f>
        <v>1.1907494179572736E-2</v>
      </c>
      <c r="T615">
        <f t="shared" si="490"/>
        <v>-1.5588885512065753</v>
      </c>
      <c r="U615">
        <f t="shared" si="491"/>
        <v>0.96913736613407986</v>
      </c>
      <c r="V615">
        <f t="shared" si="492"/>
        <v>-0.24908915614035188</v>
      </c>
      <c r="X615">
        <f t="shared" ref="X615:X626" si="532">20*LOG(C615*J615*O615*Q615*F615*M615*S615*U615)</f>
        <v>-32.957002906555701</v>
      </c>
      <c r="Y615">
        <f t="shared" ref="Y615:Y626" si="533">(180/Pi)*(D615+H615+N615+P615+R615+T615+V615)</f>
        <v>-104.12318332980024</v>
      </c>
      <c r="Z615">
        <f t="shared" si="510"/>
        <v>75.876816670199759</v>
      </c>
      <c r="AC615">
        <v>1</v>
      </c>
      <c r="AD615">
        <f t="shared" si="494"/>
        <v>666.70879218300001</v>
      </c>
      <c r="AE615">
        <f t="shared" si="495"/>
        <v>-9.4253734854562073E-3</v>
      </c>
      <c r="AF615">
        <f t="shared" si="496"/>
        <v>3.7053514510425004E-2</v>
      </c>
      <c r="AG615">
        <f t="shared" si="473"/>
        <v>16893.19219232642</v>
      </c>
      <c r="AH615">
        <f t="shared" si="474"/>
        <v>-4324.1416608184381</v>
      </c>
      <c r="AJ615">
        <f t="shared" si="497"/>
        <v>18000</v>
      </c>
      <c r="AK615">
        <f t="shared" si="498"/>
        <v>1511545.8876209999</v>
      </c>
      <c r="AL615">
        <v>1</v>
      </c>
      <c r="AM615">
        <f t="shared" si="499"/>
        <v>923.72248687950002</v>
      </c>
      <c r="AN615">
        <f t="shared" si="475"/>
        <v>1636.3828140529561</v>
      </c>
      <c r="AO615">
        <f t="shared" si="476"/>
        <v>-17.714862871019061</v>
      </c>
      <c r="AQ615">
        <f t="shared" si="500"/>
        <v>4.9382713610730193E-4</v>
      </c>
      <c r="AR615">
        <f t="shared" si="501"/>
        <v>-2.2222221124828585</v>
      </c>
      <c r="AT615">
        <f t="shared" si="523"/>
        <v>-9600.8608994590395</v>
      </c>
      <c r="AU615">
        <f t="shared" si="524"/>
        <v>-37542.560618703035</v>
      </c>
      <c r="AV615">
        <f t="shared" si="511"/>
        <v>-1.8211631648154758</v>
      </c>
      <c r="AW615">
        <f t="shared" si="512"/>
        <v>39549.239362741915</v>
      </c>
      <c r="AX615">
        <f t="shared" si="513"/>
        <v>-13612.113603060126</v>
      </c>
      <c r="AY615">
        <f t="shared" si="521"/>
        <v>-0.3314818598198257</v>
      </c>
      <c r="BA615">
        <f t="shared" si="502"/>
        <v>0.92647040014705306</v>
      </c>
      <c r="BB615">
        <f t="shared" si="514"/>
        <v>-0.66336902842679302</v>
      </c>
      <c r="BC615">
        <f t="shared" si="515"/>
        <v>-1.4896813049956501</v>
      </c>
      <c r="BD615">
        <f t="shared" si="503"/>
        <v>-265.35245169332092</v>
      </c>
      <c r="BF615">
        <f t="shared" si="504"/>
        <v>-54.172016854544438</v>
      </c>
      <c r="BG615">
        <f t="shared" si="505"/>
        <v>-175.73817782672191</v>
      </c>
      <c r="BH615">
        <f t="shared" si="516"/>
        <v>4.261822173278091</v>
      </c>
      <c r="BI615">
        <f t="shared" si="517"/>
        <v>4.261822173278091</v>
      </c>
      <c r="BJ615">
        <f t="shared" si="506"/>
        <v>0</v>
      </c>
      <c r="BK615">
        <f t="shared" si="518"/>
        <v>0</v>
      </c>
      <c r="BM615">
        <f t="shared" si="519"/>
        <v>-53.508647826117645</v>
      </c>
      <c r="BN615">
        <f t="shared" si="507"/>
        <v>-90.385726133400993</v>
      </c>
      <c r="BQ615" s="66">
        <f t="shared" si="520"/>
        <v>16.238591771858346</v>
      </c>
    </row>
    <row r="616" spans="1:69" x14ac:dyDescent="0.2">
      <c r="A616">
        <f t="shared" ref="A616:A626" si="534">A615+250000</f>
        <v>2500000</v>
      </c>
      <c r="B616">
        <f t="shared" si="508"/>
        <v>2500</v>
      </c>
      <c r="C616">
        <f t="shared" si="477"/>
        <v>155.51205139314123</v>
      </c>
      <c r="D616">
        <f t="shared" si="526"/>
        <v>1.5643659126708525</v>
      </c>
      <c r="F616">
        <f t="shared" si="479"/>
        <v>8.1461541869195278E-7</v>
      </c>
      <c r="G616">
        <f t="shared" si="527"/>
        <v>3.7141972287311814E-4</v>
      </c>
      <c r="H616">
        <f t="shared" si="481"/>
        <v>-3.141221230277127</v>
      </c>
      <c r="J616">
        <f t="shared" si="482"/>
        <v>15</v>
      </c>
      <c r="M616">
        <f t="shared" si="528"/>
        <v>1.3493996631799262E-3</v>
      </c>
      <c r="N616">
        <f t="shared" si="484"/>
        <v>-1.5707963250000001</v>
      </c>
      <c r="O616">
        <f t="shared" si="529"/>
        <v>740.78822182704323</v>
      </c>
      <c r="P616">
        <f t="shared" si="486"/>
        <v>1.5694464129136461</v>
      </c>
      <c r="Q616">
        <f t="shared" si="530"/>
        <v>1026.3588059141844</v>
      </c>
      <c r="R616">
        <f t="shared" si="488"/>
        <v>1.5698220085034242</v>
      </c>
      <c r="S616">
        <f t="shared" si="531"/>
        <v>1.0716889118008957E-2</v>
      </c>
      <c r="T616">
        <f t="shared" si="490"/>
        <v>-1.5600792325241069</v>
      </c>
      <c r="U616">
        <f t="shared" si="491"/>
        <v>0.96230266185117563</v>
      </c>
      <c r="V616">
        <f t="shared" si="492"/>
        <v>-0.27545089055674815</v>
      </c>
      <c r="X616">
        <f t="shared" si="532"/>
        <v>-33.933555227643417</v>
      </c>
      <c r="Y616">
        <f t="shared" si="533"/>
        <v>-105.64845253524852</v>
      </c>
      <c r="Z616">
        <f t="shared" si="510"/>
        <v>74.351547464751476</v>
      </c>
      <c r="AC616">
        <v>1</v>
      </c>
      <c r="AD616">
        <f t="shared" si="494"/>
        <v>740.78754687000003</v>
      </c>
      <c r="AE616">
        <f t="shared" si="495"/>
        <v>-1.1636263562291615E-2</v>
      </c>
      <c r="AF616">
        <f t="shared" si="496"/>
        <v>4.1170571678250001E-2</v>
      </c>
      <c r="AG616">
        <f t="shared" ref="AG616:AG626" si="535">AC616*AE616/(AE616^2+AF616^2)+AD616*AF616/(AE616^2+AF616^2)</f>
        <v>16655.758688099333</v>
      </c>
      <c r="AH616">
        <f t="shared" ref="AH616:AH626" si="536">AD616*AE616/(AE616^2+AF616^2)-AC616*AF616/(AE616^2+AF616^2)</f>
        <v>-4731.7972518600918</v>
      </c>
      <c r="AJ616">
        <f t="shared" si="497"/>
        <v>18000</v>
      </c>
      <c r="AK616">
        <f t="shared" si="498"/>
        <v>1679495.4306899998</v>
      </c>
      <c r="AL616">
        <v>1</v>
      </c>
      <c r="AM616">
        <f t="shared" si="499"/>
        <v>1026.358318755</v>
      </c>
      <c r="AN616">
        <f t="shared" ref="AN616:AN626" si="537">AJ616*AL616/(AL616^2+AM616^2)+AK616*AM616/(AL616^2+AM616^2)</f>
        <v>1636.3791702954441</v>
      </c>
      <c r="AO616">
        <f t="shared" ref="AO616:AO626" si="538">AK616*AL616/(AL616^2+AM616^2)-AJ616*AM616/(AL616^2+AM616^2)</f>
        <v>-15.94338013409787</v>
      </c>
      <c r="AQ616">
        <f t="shared" si="500"/>
        <v>3.9999998400000063E-4</v>
      </c>
      <c r="AR616">
        <f t="shared" si="501"/>
        <v>-1.9999999200000032</v>
      </c>
      <c r="AT616">
        <f t="shared" si="523"/>
        <v>-9456.9318219676697</v>
      </c>
      <c r="AU616">
        <f t="shared" si="524"/>
        <v>-33313.408762563064</v>
      </c>
      <c r="AV616">
        <f t="shared" si="511"/>
        <v>-1.8473971312355619</v>
      </c>
      <c r="AW616">
        <f t="shared" si="512"/>
        <v>39023.173230492706</v>
      </c>
      <c r="AX616">
        <f t="shared" si="513"/>
        <v>-14138.157933269864</v>
      </c>
      <c r="AY616">
        <f t="shared" si="521"/>
        <v>-0.34759161597380128</v>
      </c>
      <c r="BA616">
        <f t="shared" si="502"/>
        <v>0.83434290700619329</v>
      </c>
      <c r="BB616">
        <f t="shared" si="514"/>
        <v>-1.5731084353624583</v>
      </c>
      <c r="BC616">
        <f t="shared" si="515"/>
        <v>-1.4998055152617606</v>
      </c>
      <c r="BD616">
        <f t="shared" si="503"/>
        <v>-265.93252621313491</v>
      </c>
      <c r="BF616">
        <f t="shared" si="504"/>
        <v>-55.996949729276707</v>
      </c>
      <c r="BG616">
        <f t="shared" si="505"/>
        <v>-176.27968091797206</v>
      </c>
      <c r="BH616">
        <f t="shared" si="516"/>
        <v>3.7203190820279417</v>
      </c>
      <c r="BI616">
        <f t="shared" si="517"/>
        <v>3.7203190820279417</v>
      </c>
      <c r="BJ616">
        <f t="shared" si="506"/>
        <v>0</v>
      </c>
      <c r="BK616">
        <f t="shared" si="518"/>
        <v>0</v>
      </c>
      <c r="BM616">
        <f t="shared" si="519"/>
        <v>-54.423841293914244</v>
      </c>
      <c r="BN616">
        <f t="shared" si="507"/>
        <v>-90.34715470483718</v>
      </c>
      <c r="BQ616" s="66">
        <f t="shared" si="520"/>
        <v>15.328852364922678</v>
      </c>
    </row>
    <row r="617" spans="1:69" x14ac:dyDescent="0.2">
      <c r="A617">
        <f t="shared" si="534"/>
        <v>2750000</v>
      </c>
      <c r="B617">
        <f t="shared" si="508"/>
        <v>2750</v>
      </c>
      <c r="C617">
        <f t="shared" si="477"/>
        <v>171.06264272332703</v>
      </c>
      <c r="D617">
        <f t="shared" si="526"/>
        <v>1.5649504817889199</v>
      </c>
      <c r="F617">
        <f t="shared" si="479"/>
        <v>6.7323579528745038E-7</v>
      </c>
      <c r="G617">
        <f t="shared" si="527"/>
        <v>3.3765424807377702E-4</v>
      </c>
      <c r="H617">
        <f t="shared" si="481"/>
        <v>-3.1412549957519262</v>
      </c>
      <c r="J617">
        <f t="shared" si="482"/>
        <v>15</v>
      </c>
      <c r="M617">
        <f t="shared" si="528"/>
        <v>1.2267269665272055E-3</v>
      </c>
      <c r="N617">
        <f t="shared" si="484"/>
        <v>-1.5707963250000001</v>
      </c>
      <c r="O617">
        <f t="shared" si="529"/>
        <v>814.86691515436053</v>
      </c>
      <c r="P617">
        <f t="shared" si="486"/>
        <v>1.5695691322280247</v>
      </c>
      <c r="Q617">
        <f t="shared" si="530"/>
        <v>1128.9945935025041</v>
      </c>
      <c r="R617">
        <f t="shared" si="488"/>
        <v>1.5699105828449147</v>
      </c>
      <c r="S617">
        <f t="shared" si="531"/>
        <v>9.7427235719721554E-3</v>
      </c>
      <c r="T617">
        <f t="shared" si="490"/>
        <v>-1.5610534490853776</v>
      </c>
      <c r="U617">
        <f t="shared" si="491"/>
        <v>0.95491421007609012</v>
      </c>
      <c r="V617">
        <f t="shared" si="492"/>
        <v>-0.30142564986394926</v>
      </c>
      <c r="X617">
        <f t="shared" si="532"/>
        <v>-34.828303372206911</v>
      </c>
      <c r="Y617">
        <f t="shared" si="533"/>
        <v>-107.14885015760744</v>
      </c>
      <c r="Z617">
        <f t="shared" si="510"/>
        <v>72.851149842392559</v>
      </c>
      <c r="AC617">
        <v>1</v>
      </c>
      <c r="AD617">
        <f t="shared" si="494"/>
        <v>814.86630155700004</v>
      </c>
      <c r="AE617">
        <f t="shared" si="495"/>
        <v>-1.4079878910372857E-2</v>
      </c>
      <c r="AF617">
        <f t="shared" si="496"/>
        <v>4.5287628846074998E-2</v>
      </c>
      <c r="AG617">
        <f t="shared" si="535"/>
        <v>16400.978454732198</v>
      </c>
      <c r="AH617">
        <f t="shared" si="536"/>
        <v>-5121.1290271463149</v>
      </c>
      <c r="AJ617">
        <f t="shared" si="497"/>
        <v>18000</v>
      </c>
      <c r="AK617">
        <f t="shared" si="498"/>
        <v>1847444.9737589997</v>
      </c>
      <c r="AL617">
        <v>1</v>
      </c>
      <c r="AM617">
        <f t="shared" si="499"/>
        <v>1128.9941506304999</v>
      </c>
      <c r="AN617">
        <f t="shared" si="537"/>
        <v>1636.3764743259233</v>
      </c>
      <c r="AO617">
        <f t="shared" si="538"/>
        <v>-14.49398432802829</v>
      </c>
      <c r="AQ617">
        <f t="shared" si="500"/>
        <v>3.3057850146847931E-4</v>
      </c>
      <c r="AR617">
        <f t="shared" si="501"/>
        <v>-1.8181817580766362</v>
      </c>
      <c r="AT617">
        <f t="shared" si="523"/>
        <v>-9305.7215670339992</v>
      </c>
      <c r="AU617">
        <f t="shared" si="524"/>
        <v>-29821.652776161638</v>
      </c>
      <c r="AV617">
        <f t="shared" si="511"/>
        <v>-1.8732673530459032</v>
      </c>
      <c r="AW617">
        <f t="shared" si="512"/>
        <v>38456.227007678026</v>
      </c>
      <c r="AX617">
        <f t="shared" si="513"/>
        <v>-14693.90741156603</v>
      </c>
      <c r="AY617">
        <f t="shared" si="521"/>
        <v>-0.36497582965812192</v>
      </c>
      <c r="BA617">
        <f t="shared" si="502"/>
        <v>0.75884053139239338</v>
      </c>
      <c r="BB617">
        <f t="shared" si="514"/>
        <v>-2.396989610228502</v>
      </c>
      <c r="BC617">
        <f t="shared" si="515"/>
        <v>-1.5082915233877814</v>
      </c>
      <c r="BD617">
        <f t="shared" si="503"/>
        <v>-266.4187386642252</v>
      </c>
      <c r="BF617">
        <f t="shared" si="504"/>
        <v>-57.64871690850434</v>
      </c>
      <c r="BG617">
        <f t="shared" si="505"/>
        <v>-176.73433464492658</v>
      </c>
      <c r="BH617">
        <f t="shared" si="516"/>
        <v>3.2656653550734234</v>
      </c>
      <c r="BI617">
        <f t="shared" si="517"/>
        <v>3.2656653550734234</v>
      </c>
      <c r="BJ617">
        <f t="shared" si="506"/>
        <v>0</v>
      </c>
      <c r="BK617">
        <f t="shared" si="518"/>
        <v>0</v>
      </c>
      <c r="BM617">
        <f t="shared" si="519"/>
        <v>-55.251727298275839</v>
      </c>
      <c r="BN617">
        <f t="shared" si="507"/>
        <v>-90.315595980701417</v>
      </c>
      <c r="BQ617" s="66">
        <f t="shared" si="520"/>
        <v>14.504971190056635</v>
      </c>
    </row>
    <row r="618" spans="1:69" x14ac:dyDescent="0.2">
      <c r="A618">
        <f t="shared" si="534"/>
        <v>3000000</v>
      </c>
      <c r="B618">
        <f t="shared" si="508"/>
        <v>3000</v>
      </c>
      <c r="C618">
        <f t="shared" si="477"/>
        <v>186.61328276691432</v>
      </c>
      <c r="D618">
        <f t="shared" si="526"/>
        <v>1.5654376257896143</v>
      </c>
      <c r="F618">
        <f t="shared" si="479"/>
        <v>5.657050217891421E-7</v>
      </c>
      <c r="G618">
        <f t="shared" si="527"/>
        <v>3.0951636238181257E-4</v>
      </c>
      <c r="H618">
        <f t="shared" si="481"/>
        <v>-3.1412831336376184</v>
      </c>
      <c r="J618">
        <f t="shared" si="482"/>
        <v>15</v>
      </c>
      <c r="M618">
        <f t="shared" si="528"/>
        <v>1.1244997193166051E-3</v>
      </c>
      <c r="N618">
        <f t="shared" si="484"/>
        <v>-1.5707963250000001</v>
      </c>
      <c r="O618">
        <f t="shared" si="529"/>
        <v>888.9456187082809</v>
      </c>
      <c r="P618">
        <f t="shared" si="486"/>
        <v>1.569671398351733</v>
      </c>
      <c r="Q618">
        <f t="shared" si="530"/>
        <v>1231.6303884720164</v>
      </c>
      <c r="R618">
        <f t="shared" si="488"/>
        <v>1.5699843948068326</v>
      </c>
      <c r="S618">
        <f t="shared" si="531"/>
        <v>8.9308976416289966E-3</v>
      </c>
      <c r="T618">
        <f t="shared" si="490"/>
        <v>-1.5618653104262186</v>
      </c>
      <c r="U618">
        <f t="shared" si="491"/>
        <v>0.94701418161297291</v>
      </c>
      <c r="V618">
        <f t="shared" si="492"/>
        <v>-0.32698764733930935</v>
      </c>
      <c r="X618">
        <f t="shared" si="532"/>
        <v>-35.656192372653223</v>
      </c>
      <c r="Y618">
        <f t="shared" si="533"/>
        <v>-108.62357331460332</v>
      </c>
      <c r="Z618">
        <f t="shared" si="510"/>
        <v>71.37642668539668</v>
      </c>
      <c r="AC618">
        <v>1</v>
      </c>
      <c r="AD618">
        <f t="shared" si="494"/>
        <v>888.94505624400017</v>
      </c>
      <c r="AE618">
        <f t="shared" si="495"/>
        <v>-1.6756219529699926E-2</v>
      </c>
      <c r="AF618">
        <f t="shared" si="496"/>
        <v>4.9404686013900002E-2</v>
      </c>
      <c r="AG618">
        <f t="shared" si="535"/>
        <v>16130.729599213322</v>
      </c>
      <c r="AH618">
        <f t="shared" si="536"/>
        <v>-5491.1804573015515</v>
      </c>
      <c r="AJ618">
        <f t="shared" si="497"/>
        <v>18000</v>
      </c>
      <c r="AK618">
        <f t="shared" si="498"/>
        <v>2015394.5168279998</v>
      </c>
      <c r="AL618">
        <v>1</v>
      </c>
      <c r="AM618">
        <f t="shared" si="499"/>
        <v>1231.629982506</v>
      </c>
      <c r="AN618">
        <f t="shared" si="537"/>
        <v>1636.3744238194095</v>
      </c>
      <c r="AO618">
        <f t="shared" si="538"/>
        <v>-13.286153965564795</v>
      </c>
      <c r="AQ618">
        <f t="shared" si="500"/>
        <v>2.7777777006172862E-4</v>
      </c>
      <c r="AR618">
        <f t="shared" si="501"/>
        <v>-1.6666666203703717</v>
      </c>
      <c r="AT618">
        <f t="shared" si="523"/>
        <v>-9147.4864165170711</v>
      </c>
      <c r="AU618">
        <f t="shared" si="524"/>
        <v>-26886.073913091626</v>
      </c>
      <c r="AV618">
        <f t="shared" si="511"/>
        <v>-1.8987422359122461</v>
      </c>
      <c r="AW618">
        <f t="shared" si="512"/>
        <v>37853.229116282608</v>
      </c>
      <c r="AX618">
        <f t="shared" si="513"/>
        <v>-15259.494873675027</v>
      </c>
      <c r="AY618">
        <f t="shared" si="521"/>
        <v>-0.3831954339058285</v>
      </c>
      <c r="BA618">
        <f t="shared" si="502"/>
        <v>0.69584320186396043</v>
      </c>
      <c r="BB618">
        <f t="shared" si="514"/>
        <v>-3.1497722260923018</v>
      </c>
      <c r="BC618">
        <f t="shared" si="515"/>
        <v>-1.5155468020064176</v>
      </c>
      <c r="BD618">
        <f t="shared" si="503"/>
        <v>-266.83443550873955</v>
      </c>
      <c r="BF618">
        <f t="shared" si="504"/>
        <v>-59.157295310015236</v>
      </c>
      <c r="BG618">
        <f t="shared" si="505"/>
        <v>-177.12373237625056</v>
      </c>
      <c r="BH618">
        <f t="shared" si="516"/>
        <v>2.8762676237494418</v>
      </c>
      <c r="BI618">
        <f t="shared" si="517"/>
        <v>2.8762676237494418</v>
      </c>
      <c r="BJ618">
        <f t="shared" si="506"/>
        <v>0</v>
      </c>
      <c r="BK618">
        <f t="shared" si="518"/>
        <v>0</v>
      </c>
      <c r="BM618">
        <f t="shared" si="519"/>
        <v>-56.007523083922941</v>
      </c>
      <c r="BN618">
        <f t="shared" si="507"/>
        <v>-90.289296867511041</v>
      </c>
      <c r="BQ618" s="66">
        <f t="shared" si="520"/>
        <v>13.752188574192836</v>
      </c>
    </row>
    <row r="619" spans="1:69" x14ac:dyDescent="0.2">
      <c r="A619">
        <f t="shared" si="534"/>
        <v>3250000</v>
      </c>
      <c r="B619">
        <f t="shared" si="508"/>
        <v>3250</v>
      </c>
      <c r="C619">
        <f t="shared" si="477"/>
        <v>202.16396028266283</v>
      </c>
      <c r="D619">
        <f t="shared" si="526"/>
        <v>1.5658498265552352</v>
      </c>
      <c r="F619">
        <f t="shared" si="479"/>
        <v>4.8202080970441313E-7</v>
      </c>
      <c r="G619">
        <f t="shared" si="527"/>
        <v>2.8570738866720102E-4</v>
      </c>
      <c r="H619">
        <f t="shared" si="481"/>
        <v>-3.1413069426113331</v>
      </c>
      <c r="J619">
        <f t="shared" si="482"/>
        <v>15</v>
      </c>
      <c r="M619">
        <f t="shared" si="528"/>
        <v>1.0379997409076355E-3</v>
      </c>
      <c r="N619">
        <f t="shared" si="484"/>
        <v>-1.5707963250000001</v>
      </c>
      <c r="O619">
        <f t="shared" si="529"/>
        <v>963.02433012882204</v>
      </c>
      <c r="P619">
        <f t="shared" si="486"/>
        <v>1.5697579312441039</v>
      </c>
      <c r="Q619">
        <f t="shared" si="530"/>
        <v>1334.2661891193704</v>
      </c>
      <c r="R619">
        <f t="shared" si="488"/>
        <v>1.5700468510892438</v>
      </c>
      <c r="S619">
        <f t="shared" si="531"/>
        <v>8.2439541505134276E-3</v>
      </c>
      <c r="T619">
        <f t="shared" si="490"/>
        <v>-1.5625522792611868</v>
      </c>
      <c r="U619">
        <f t="shared" si="491"/>
        <v>0.93864570683893522</v>
      </c>
      <c r="V619">
        <f t="shared" si="492"/>
        <v>-0.35211406250740479</v>
      </c>
      <c r="X619">
        <f t="shared" si="532"/>
        <v>-36.428499301964948</v>
      </c>
      <c r="Y619">
        <f t="shared" si="533"/>
        <v>-110.0717816132023</v>
      </c>
      <c r="Z619">
        <f t="shared" si="510"/>
        <v>69.928218386797695</v>
      </c>
      <c r="AC619">
        <v>1</v>
      </c>
      <c r="AD619">
        <f t="shared" si="494"/>
        <v>963.02381093100018</v>
      </c>
      <c r="AE619">
        <f t="shared" si="495"/>
        <v>-1.9665285420272828E-2</v>
      </c>
      <c r="AF619">
        <f t="shared" si="496"/>
        <v>5.3521743181725E-2</v>
      </c>
      <c r="AG619">
        <f t="shared" si="535"/>
        <v>15846.904551142112</v>
      </c>
      <c r="AH619">
        <f t="shared" si="536"/>
        <v>-5841.2503487513259</v>
      </c>
      <c r="AJ619">
        <f t="shared" si="497"/>
        <v>18000</v>
      </c>
      <c r="AK619">
        <f t="shared" si="498"/>
        <v>2183344.059897</v>
      </c>
      <c r="AL619">
        <v>1</v>
      </c>
      <c r="AM619">
        <f t="shared" si="499"/>
        <v>1334.2658143814999</v>
      </c>
      <c r="AN619">
        <f t="shared" si="537"/>
        <v>1636.3728280428249</v>
      </c>
      <c r="AO619">
        <f t="shared" si="538"/>
        <v>-12.264143318055817</v>
      </c>
      <c r="AQ619">
        <f t="shared" si="500"/>
        <v>2.3668638493049978E-4</v>
      </c>
      <c r="AR619">
        <f t="shared" si="501"/>
        <v>-1.5384615020482484</v>
      </c>
      <c r="AT619">
        <f t="shared" si="523"/>
        <v>-8982.7880388292724</v>
      </c>
      <c r="AU619">
        <f t="shared" si="524"/>
        <v>-24381.235122993839</v>
      </c>
      <c r="AV619">
        <f t="shared" si="511"/>
        <v>-1.9237949387004616</v>
      </c>
      <c r="AW619">
        <f t="shared" si="512"/>
        <v>37218.815310883947</v>
      </c>
      <c r="AX619">
        <f t="shared" si="513"/>
        <v>-15821.078762628371</v>
      </c>
      <c r="AY619">
        <f t="shared" si="521"/>
        <v>-0.4019407899287919</v>
      </c>
      <c r="BA619">
        <f t="shared" si="502"/>
        <v>0.64248629080943687</v>
      </c>
      <c r="BB619">
        <f t="shared" si="514"/>
        <v>-3.8427226950098707</v>
      </c>
      <c r="BC619">
        <f t="shared" si="515"/>
        <v>-1.5218541487716697</v>
      </c>
      <c r="BD619">
        <f t="shared" si="503"/>
        <v>-267.19581985872691</v>
      </c>
      <c r="BF619">
        <f t="shared" si="504"/>
        <v>-60.545507023777873</v>
      </c>
      <c r="BG619">
        <f t="shared" si="505"/>
        <v>-177.46286351573877</v>
      </c>
      <c r="BH619">
        <f t="shared" si="516"/>
        <v>2.5371364842612252</v>
      </c>
      <c r="BI619">
        <f t="shared" si="517"/>
        <v>2.5371364842612252</v>
      </c>
      <c r="BJ619">
        <f t="shared" si="506"/>
        <v>0</v>
      </c>
      <c r="BK619">
        <f t="shared" si="518"/>
        <v>0</v>
      </c>
      <c r="BM619">
        <f t="shared" si="519"/>
        <v>-56.70278432876799</v>
      </c>
      <c r="BN619">
        <f t="shared" si="507"/>
        <v>-90.267043657011882</v>
      </c>
      <c r="BQ619" s="66">
        <f t="shared" si="520"/>
        <v>13.059238105275266</v>
      </c>
    </row>
    <row r="620" spans="1:69" x14ac:dyDescent="0.2">
      <c r="A620">
        <f t="shared" si="534"/>
        <v>3500000</v>
      </c>
      <c r="B620">
        <f t="shared" si="508"/>
        <v>3500</v>
      </c>
      <c r="C620">
        <f t="shared" si="477"/>
        <v>217.71466724101498</v>
      </c>
      <c r="D620">
        <f t="shared" si="526"/>
        <v>1.5662031428403917</v>
      </c>
      <c r="F620">
        <f t="shared" si="479"/>
        <v>4.1561995838316861E-7</v>
      </c>
      <c r="G620">
        <f t="shared" si="527"/>
        <v>2.6529970127711389E-4</v>
      </c>
      <c r="H620">
        <f t="shared" si="481"/>
        <v>-3.1413273502987229</v>
      </c>
      <c r="J620">
        <f t="shared" si="482"/>
        <v>15</v>
      </c>
      <c r="M620">
        <f t="shared" si="528"/>
        <v>9.638569022713758E-4</v>
      </c>
      <c r="N620">
        <f t="shared" si="484"/>
        <v>-1.5707963250000001</v>
      </c>
      <c r="O620">
        <f t="shared" si="529"/>
        <v>1037.1030477302813</v>
      </c>
      <c r="P620">
        <f t="shared" si="486"/>
        <v>1.569832102307134</v>
      </c>
      <c r="Q620">
        <f t="shared" si="530"/>
        <v>1436.9019942278865</v>
      </c>
      <c r="R620">
        <f t="shared" si="488"/>
        <v>1.5701003850502686</v>
      </c>
      <c r="S620">
        <f t="shared" si="531"/>
        <v>7.6551361172365598E-3</v>
      </c>
      <c r="T620">
        <f t="shared" si="490"/>
        <v>-1.5631411159091106</v>
      </c>
      <c r="U620">
        <f t="shared" si="491"/>
        <v>0.92985232799050554</v>
      </c>
      <c r="V620">
        <f t="shared" si="492"/>
        <v>-0.37678504185994083</v>
      </c>
      <c r="X620">
        <f t="shared" si="532"/>
        <v>-37.153922769848364</v>
      </c>
      <c r="Y620">
        <f t="shared" si="533"/>
        <v>-111.49267124641266</v>
      </c>
      <c r="Z620">
        <f t="shared" si="510"/>
        <v>68.507328753587345</v>
      </c>
      <c r="AC620">
        <v>1</v>
      </c>
      <c r="AD620">
        <f t="shared" si="494"/>
        <v>1037.102565618</v>
      </c>
      <c r="AE620">
        <f t="shared" si="495"/>
        <v>-2.2807076582091561E-2</v>
      </c>
      <c r="AF620">
        <f t="shared" si="496"/>
        <v>5.7638800349549997E-2</v>
      </c>
      <c r="AG620">
        <f t="shared" si="535"/>
        <v>15551.382783568601</v>
      </c>
      <c r="AH620">
        <f t="shared" si="536"/>
        <v>-6170.8705931636587</v>
      </c>
      <c r="AJ620">
        <f t="shared" si="497"/>
        <v>18000</v>
      </c>
      <c r="AK620">
        <f t="shared" si="498"/>
        <v>2351293.6029659999</v>
      </c>
      <c r="AL620">
        <v>1</v>
      </c>
      <c r="AM620">
        <f t="shared" si="499"/>
        <v>1436.9016462569998</v>
      </c>
      <c r="AN620">
        <f t="shared" si="537"/>
        <v>1636.3715618427336</v>
      </c>
      <c r="AO620">
        <f t="shared" si="538"/>
        <v>-11.388133962253473</v>
      </c>
      <c r="AQ620">
        <f t="shared" si="500"/>
        <v>2.0408162848813003E-4</v>
      </c>
      <c r="AR620">
        <f t="shared" si="501"/>
        <v>-1.4285713994169102</v>
      </c>
      <c r="AT620">
        <f t="shared" si="523"/>
        <v>-8812.3554873727535</v>
      </c>
      <c r="AU620">
        <f t="shared" si="524"/>
        <v>-22217.520027310482</v>
      </c>
      <c r="AV620">
        <f t="shared" si="511"/>
        <v>-1.9484027360007146</v>
      </c>
      <c r="AW620">
        <f t="shared" si="512"/>
        <v>36557.46010348136</v>
      </c>
      <c r="AX620">
        <f t="shared" si="513"/>
        <v>-16368.845926491704</v>
      </c>
      <c r="AY620">
        <f t="shared" si="521"/>
        <v>-0.42098679042284681</v>
      </c>
      <c r="BA620">
        <f t="shared" si="502"/>
        <v>0.59671691330242171</v>
      </c>
      <c r="BB620">
        <f t="shared" si="514"/>
        <v>-4.4846330473810383</v>
      </c>
      <c r="BC620">
        <f t="shared" si="515"/>
        <v>-1.5274159455778678</v>
      </c>
      <c r="BD620">
        <f t="shared" si="503"/>
        <v>-267.51448734259554</v>
      </c>
      <c r="BF620">
        <f t="shared" si="504"/>
        <v>-61.831126214498354</v>
      </c>
      <c r="BG620">
        <f t="shared" si="505"/>
        <v>-177.76245674196997</v>
      </c>
      <c r="BH620">
        <f t="shared" si="516"/>
        <v>2.2375432580300298</v>
      </c>
      <c r="BI620">
        <f t="shared" si="517"/>
        <v>2.2375432580300298</v>
      </c>
      <c r="BJ620">
        <f t="shared" si="506"/>
        <v>0</v>
      </c>
      <c r="BK620">
        <f t="shared" si="518"/>
        <v>0</v>
      </c>
      <c r="BM620">
        <f t="shared" si="519"/>
        <v>-57.346493167117316</v>
      </c>
      <c r="BN620">
        <f t="shared" si="507"/>
        <v>-90.247969399374426</v>
      </c>
      <c r="BQ620" s="66">
        <f t="shared" si="520"/>
        <v>12.417327752904097</v>
      </c>
    </row>
    <row r="621" spans="1:69" x14ac:dyDescent="0.2">
      <c r="A621">
        <f t="shared" si="534"/>
        <v>3750000</v>
      </c>
      <c r="B621">
        <f t="shared" si="508"/>
        <v>3750</v>
      </c>
      <c r="C621">
        <f t="shared" si="477"/>
        <v>233.26539775357114</v>
      </c>
      <c r="D621">
        <f t="shared" si="526"/>
        <v>1.5665093512183064</v>
      </c>
      <c r="F621">
        <f t="shared" si="479"/>
        <v>3.6205114583031735E-7</v>
      </c>
      <c r="G621">
        <f t="shared" si="527"/>
        <v>2.4761304189731883E-4</v>
      </c>
      <c r="H621">
        <f t="shared" si="481"/>
        <v>-3.1413450369581031</v>
      </c>
      <c r="J621">
        <f t="shared" si="482"/>
        <v>15</v>
      </c>
      <c r="M621">
        <f t="shared" si="528"/>
        <v>8.9959977545328411E-4</v>
      </c>
      <c r="N621">
        <f t="shared" si="484"/>
        <v>-1.5707963250000001</v>
      </c>
      <c r="O621">
        <f t="shared" si="529"/>
        <v>1111.1817702764761</v>
      </c>
      <c r="P621">
        <f t="shared" si="486"/>
        <v>1.5698963839037043</v>
      </c>
      <c r="Q621">
        <f t="shared" si="530"/>
        <v>1539.5378029053325</v>
      </c>
      <c r="R621">
        <f t="shared" si="488"/>
        <v>1.5701467811530609</v>
      </c>
      <c r="S621">
        <f t="shared" si="531"/>
        <v>7.1448206920007697E-3</v>
      </c>
      <c r="T621">
        <f t="shared" si="490"/>
        <v>-1.5636514453128139</v>
      </c>
      <c r="U621">
        <f t="shared" si="491"/>
        <v>0.92067749362451434</v>
      </c>
      <c r="V621">
        <f t="shared" si="492"/>
        <v>-0.40098365895026888</v>
      </c>
      <c r="X621">
        <f t="shared" si="532"/>
        <v>-37.839296584700655</v>
      </c>
      <c r="Y621">
        <f t="shared" si="533"/>
        <v>-112.8855171564972</v>
      </c>
      <c r="Z621">
        <f t="shared" si="510"/>
        <v>67.114482843502799</v>
      </c>
      <c r="AC621">
        <v>1</v>
      </c>
      <c r="AD621">
        <f t="shared" si="494"/>
        <v>1111.1813203050003</v>
      </c>
      <c r="AE621">
        <f t="shared" si="495"/>
        <v>-2.6181593015156126E-2</v>
      </c>
      <c r="AF621">
        <f t="shared" si="496"/>
        <v>6.1755857517374994E-2</v>
      </c>
      <c r="AG621">
        <f t="shared" si="535"/>
        <v>15246.006456907699</v>
      </c>
      <c r="AH621">
        <f t="shared" si="536"/>
        <v>-6479.7859223088853</v>
      </c>
      <c r="AJ621">
        <f t="shared" si="497"/>
        <v>18000</v>
      </c>
      <c r="AK621">
        <f t="shared" si="498"/>
        <v>2519243.1460349998</v>
      </c>
      <c r="AL621">
        <v>1</v>
      </c>
      <c r="AM621">
        <f t="shared" si="499"/>
        <v>1539.5374781324999</v>
      </c>
      <c r="AN621">
        <f t="shared" si="537"/>
        <v>1636.3705403369697</v>
      </c>
      <c r="AO621">
        <f t="shared" si="538"/>
        <v>-10.628925694951285</v>
      </c>
      <c r="AQ621">
        <f t="shared" si="500"/>
        <v>1.77777774617284E-4</v>
      </c>
      <c r="AR621">
        <f t="shared" si="501"/>
        <v>-1.33333330962963</v>
      </c>
      <c r="AT621">
        <f t="shared" si="523"/>
        <v>-8637.0040083838812</v>
      </c>
      <c r="AU621">
        <f t="shared" si="524"/>
        <v>-20329.160209744714</v>
      </c>
      <c r="AV621">
        <f t="shared" si="511"/>
        <v>-1.9725465953038146</v>
      </c>
      <c r="AW621">
        <f t="shared" si="512"/>
        <v>35873.473039426121</v>
      </c>
      <c r="AX621">
        <f t="shared" si="513"/>
        <v>-16895.797840644114</v>
      </c>
      <c r="AY621">
        <f t="shared" si="521"/>
        <v>-0.44016576936902574</v>
      </c>
      <c r="BA621">
        <f t="shared" si="502"/>
        <v>0.5570257558549897</v>
      </c>
      <c r="BB621">
        <f t="shared" si="514"/>
        <v>-5.0824944675454118</v>
      </c>
      <c r="BC621">
        <f t="shared" si="515"/>
        <v>-1.5323808259347889</v>
      </c>
      <c r="BD621">
        <f t="shared" si="503"/>
        <v>-267.79895403315959</v>
      </c>
      <c r="BF621">
        <f t="shared" si="504"/>
        <v>-63.028264341372676</v>
      </c>
      <c r="BG621">
        <f t="shared" si="505"/>
        <v>-178.03039235574522</v>
      </c>
      <c r="BH621">
        <f t="shared" si="516"/>
        <v>1.9696076442547792</v>
      </c>
      <c r="BI621">
        <f t="shared" si="517"/>
        <v>1.9696076442547792</v>
      </c>
      <c r="BJ621">
        <f t="shared" si="506"/>
        <v>0</v>
      </c>
      <c r="BK621">
        <f t="shared" si="518"/>
        <v>0</v>
      </c>
      <c r="BM621">
        <f t="shared" si="519"/>
        <v>-57.94576987382726</v>
      </c>
      <c r="BN621">
        <f t="shared" si="507"/>
        <v>-90.231438322585646</v>
      </c>
      <c r="BQ621" s="66">
        <f t="shared" si="520"/>
        <v>11.819466332739726</v>
      </c>
    </row>
    <row r="622" spans="1:69" x14ac:dyDescent="0.2">
      <c r="A622">
        <f t="shared" si="534"/>
        <v>4000000</v>
      </c>
      <c r="B622">
        <f t="shared" si="508"/>
        <v>4000</v>
      </c>
      <c r="C622">
        <f t="shared" si="477"/>
        <v>248.81614740399723</v>
      </c>
      <c r="D622">
        <f t="shared" si="526"/>
        <v>1.5667772842104191</v>
      </c>
      <c r="F622">
        <f t="shared" si="479"/>
        <v>3.1820900200201051E-7</v>
      </c>
      <c r="G622">
        <f t="shared" si="527"/>
        <v>2.3213721708959748E-4</v>
      </c>
      <c r="H622">
        <f t="shared" si="481"/>
        <v>-3.1413605127829105</v>
      </c>
      <c r="J622">
        <f t="shared" si="482"/>
        <v>15</v>
      </c>
      <c r="M622">
        <f t="shared" si="528"/>
        <v>8.4337478948745374E-4</v>
      </c>
      <c r="N622">
        <f t="shared" si="484"/>
        <v>-1.5707963250000001</v>
      </c>
      <c r="O622">
        <f t="shared" si="529"/>
        <v>1185.2604968402693</v>
      </c>
      <c r="P622">
        <f t="shared" si="486"/>
        <v>1.5699526303068223</v>
      </c>
      <c r="Q622">
        <f t="shared" si="530"/>
        <v>1642.1736144825343</v>
      </c>
      <c r="R622">
        <f t="shared" si="488"/>
        <v>1.5701873777453053</v>
      </c>
      <c r="S622">
        <f t="shared" si="531"/>
        <v>6.698290102024493E-3</v>
      </c>
      <c r="T622">
        <f t="shared" si="490"/>
        <v>-1.5640979866030631</v>
      </c>
      <c r="U622">
        <f t="shared" si="491"/>
        <v>0.91116410281672167</v>
      </c>
      <c r="V622">
        <f t="shared" si="492"/>
        <v>-0.42469583874467526</v>
      </c>
      <c r="X622">
        <f t="shared" si="532"/>
        <v>-38.49007338021574</v>
      </c>
      <c r="Y622">
        <f t="shared" si="533"/>
        <v>-114.2496964895364</v>
      </c>
      <c r="Z622">
        <f t="shared" si="510"/>
        <v>65.750303510463596</v>
      </c>
      <c r="AC622">
        <v>1</v>
      </c>
      <c r="AD622">
        <f t="shared" si="494"/>
        <v>1185.2600749920002</v>
      </c>
      <c r="AE622">
        <f t="shared" si="495"/>
        <v>-2.9788834719466535E-2</v>
      </c>
      <c r="AF622">
        <f t="shared" si="496"/>
        <v>6.5872914685200012E-2</v>
      </c>
      <c r="AG622">
        <f t="shared" si="535"/>
        <v>14932.559325101611</v>
      </c>
      <c r="AH622">
        <f t="shared" si="536"/>
        <v>-6767.9340409427186</v>
      </c>
      <c r="AJ622">
        <f t="shared" si="497"/>
        <v>18000</v>
      </c>
      <c r="AK622">
        <f t="shared" si="498"/>
        <v>2687192.6891039996</v>
      </c>
      <c r="AL622">
        <v>1</v>
      </c>
      <c r="AM622">
        <f t="shared" si="499"/>
        <v>1642.1733100079998</v>
      </c>
      <c r="AN622">
        <f t="shared" si="537"/>
        <v>1636.3697043092591</v>
      </c>
      <c r="AO622">
        <f t="shared" si="538"/>
        <v>-9.9646183481151738</v>
      </c>
      <c r="AQ622">
        <f t="shared" si="500"/>
        <v>1.562499975585938E-4</v>
      </c>
      <c r="AR622">
        <f t="shared" si="501"/>
        <v>-1.2499999804687503</v>
      </c>
      <c r="AT622">
        <f t="shared" si="523"/>
        <v>-8457.5842066340974</v>
      </c>
      <c r="AU622">
        <f t="shared" si="524"/>
        <v>-18666.756354402842</v>
      </c>
      <c r="AV622">
        <f t="shared" si="511"/>
        <v>-1.996210862028297</v>
      </c>
      <c r="AW622">
        <f t="shared" si="512"/>
        <v>35170.980736961239</v>
      </c>
      <c r="AX622">
        <f t="shared" si="513"/>
        <v>-17396.975806353203</v>
      </c>
      <c r="AY622">
        <f t="shared" si="521"/>
        <v>-0.45935046550592018</v>
      </c>
      <c r="BA622">
        <f t="shared" si="502"/>
        <v>0.52227851881801157</v>
      </c>
      <c r="BB622">
        <f t="shared" si="514"/>
        <v>-5.6419567243343245</v>
      </c>
      <c r="BC622">
        <f t="shared" si="515"/>
        <v>-1.5368603965223768</v>
      </c>
      <c r="BD622">
        <f t="shared" si="503"/>
        <v>-268.05561452215261</v>
      </c>
      <c r="BF622">
        <f t="shared" si="504"/>
        <v>-64.148311087046849</v>
      </c>
      <c r="BG622">
        <f t="shared" si="505"/>
        <v>-178.27258811452728</v>
      </c>
      <c r="BH622">
        <f t="shared" si="516"/>
        <v>1.7274118854727192</v>
      </c>
      <c r="BI622">
        <f t="shared" si="517"/>
        <v>1.7274118854727192</v>
      </c>
      <c r="BJ622">
        <f t="shared" si="506"/>
        <v>0</v>
      </c>
      <c r="BK622">
        <f t="shared" si="518"/>
        <v>0</v>
      </c>
      <c r="BM622">
        <f t="shared" si="519"/>
        <v>-58.506354362712528</v>
      </c>
      <c r="BN622">
        <f t="shared" si="507"/>
        <v>-90.2169735923747</v>
      </c>
      <c r="BQ622" s="66">
        <f t="shared" si="520"/>
        <v>11.26000407595081</v>
      </c>
    </row>
    <row r="623" spans="1:69" x14ac:dyDescent="0.2">
      <c r="A623">
        <f>A622+250000</f>
        <v>4250000</v>
      </c>
      <c r="B623">
        <f t="shared" si="508"/>
        <v>4250</v>
      </c>
      <c r="C623">
        <f t="shared" si="477"/>
        <v>264.36691281507535</v>
      </c>
      <c r="D623">
        <f t="shared" si="526"/>
        <v>1.5670136961545063</v>
      </c>
      <c r="F623">
        <f t="shared" si="479"/>
        <v>2.8187370857484497E-7</v>
      </c>
      <c r="G623">
        <f t="shared" si="527"/>
        <v>2.1848207911480169E-4</v>
      </c>
      <c r="H623">
        <f t="shared" si="481"/>
        <v>-3.1413741679208855</v>
      </c>
      <c r="J623">
        <f t="shared" si="482"/>
        <v>15</v>
      </c>
      <c r="M623">
        <f t="shared" si="528"/>
        <v>7.9376450775289764E-4</v>
      </c>
      <c r="N623">
        <f t="shared" si="484"/>
        <v>-1.5707963250000001</v>
      </c>
      <c r="O623">
        <f t="shared" si="529"/>
        <v>1259.3392267126733</v>
      </c>
      <c r="P623">
        <f t="shared" si="486"/>
        <v>1.570002259490489</v>
      </c>
      <c r="Q623">
        <f t="shared" si="530"/>
        <v>1744.8094284477706</v>
      </c>
      <c r="R623">
        <f t="shared" si="488"/>
        <v>1.5702231982695449</v>
      </c>
      <c r="S623">
        <f t="shared" si="531"/>
        <v>6.3042891863875098E-3</v>
      </c>
      <c r="T623">
        <f t="shared" si="490"/>
        <v>-1.5644919958480854</v>
      </c>
      <c r="U623">
        <f t="shared" si="491"/>
        <v>0.90135410410971883</v>
      </c>
      <c r="V623">
        <f t="shared" si="492"/>
        <v>-0.44791025151462427</v>
      </c>
      <c r="X623">
        <f t="shared" si="532"/>
        <v>-39.110661962344992</v>
      </c>
      <c r="Y623">
        <f t="shared" si="533"/>
        <v>-115.58470050101175</v>
      </c>
      <c r="Z623">
        <f t="shared" si="510"/>
        <v>64.415299498988247</v>
      </c>
      <c r="AC623">
        <v>1</v>
      </c>
      <c r="AD623">
        <f t="shared" si="494"/>
        <v>1259.3388296790001</v>
      </c>
      <c r="AE623">
        <f t="shared" si="495"/>
        <v>-3.3628801695022768E-2</v>
      </c>
      <c r="AF623">
        <f t="shared" si="496"/>
        <v>6.998997185302501E-2</v>
      </c>
      <c r="AG623">
        <f t="shared" si="535"/>
        <v>14612.74907885565</v>
      </c>
      <c r="AH623">
        <f t="shared" si="536"/>
        <v>-7035.4256182013469</v>
      </c>
      <c r="AJ623">
        <f t="shared" si="497"/>
        <v>18000</v>
      </c>
      <c r="AK623">
        <f t="shared" si="498"/>
        <v>2855142.232173</v>
      </c>
      <c r="AL623">
        <v>1</v>
      </c>
      <c r="AM623">
        <f t="shared" si="499"/>
        <v>1744.8091418835002</v>
      </c>
      <c r="AN623">
        <f t="shared" si="537"/>
        <v>1636.3690114298827</v>
      </c>
      <c r="AO623">
        <f t="shared" si="538"/>
        <v>-9.3784647247467863</v>
      </c>
      <c r="AQ623">
        <f t="shared" si="500"/>
        <v>1.3840830258258404E-4</v>
      </c>
      <c r="AR623">
        <f t="shared" si="501"/>
        <v>-1.1764705719519644</v>
      </c>
      <c r="AT623">
        <f t="shared" si="523"/>
        <v>-8274.9486751747718</v>
      </c>
      <c r="AU623">
        <f t="shared" si="524"/>
        <v>-17192.443027909609</v>
      </c>
      <c r="AV623">
        <f t="shared" si="511"/>
        <v>-2.0193829985556477</v>
      </c>
      <c r="AW623">
        <f t="shared" si="512"/>
        <v>34453.90490958521</v>
      </c>
      <c r="AX623">
        <f t="shared" si="513"/>
        <v>-17868.943546377537</v>
      </c>
      <c r="AY623">
        <f t="shared" si="521"/>
        <v>-0.47844291354568347</v>
      </c>
      <c r="BA623">
        <f t="shared" si="502"/>
        <v>0.49160636060411117</v>
      </c>
      <c r="BB623">
        <f t="shared" si="514"/>
        <v>-6.1676501333928506</v>
      </c>
      <c r="BC623">
        <f t="shared" si="515"/>
        <v>-1.5409400850099644</v>
      </c>
      <c r="BD623">
        <f t="shared" si="503"/>
        <v>-268.28936345448653</v>
      </c>
      <c r="BF623">
        <f t="shared" si="504"/>
        <v>-65.200591572314039</v>
      </c>
      <c r="BG623">
        <f t="shared" si="505"/>
        <v>-178.49357402199863</v>
      </c>
      <c r="BH623">
        <f t="shared" si="516"/>
        <v>1.5064259780013742</v>
      </c>
      <c r="BI623">
        <f t="shared" si="517"/>
        <v>1.5064259780013742</v>
      </c>
      <c r="BJ623">
        <f t="shared" si="506"/>
        <v>0</v>
      </c>
      <c r="BK623">
        <f t="shared" si="518"/>
        <v>0</v>
      </c>
      <c r="BM623">
        <f t="shared" si="519"/>
        <v>-59.032941438921192</v>
      </c>
      <c r="BN623">
        <f t="shared" si="507"/>
        <v>-90.204210567512078</v>
      </c>
      <c r="BQ623" s="66">
        <f t="shared" si="520"/>
        <v>10.734310666892286</v>
      </c>
    </row>
    <row r="624" spans="1:69" x14ac:dyDescent="0.2">
      <c r="A624">
        <f t="shared" si="534"/>
        <v>4500000</v>
      </c>
      <c r="B624">
        <f t="shared" si="508"/>
        <v>4500</v>
      </c>
      <c r="C624">
        <f t="shared" si="477"/>
        <v>279.91769136006695</v>
      </c>
      <c r="D624">
        <f t="shared" si="526"/>
        <v>1.5672238404605956</v>
      </c>
      <c r="F624">
        <f t="shared" si="479"/>
        <v>2.5142438113175769E-7</v>
      </c>
      <c r="G624">
        <f t="shared" si="527"/>
        <v>2.0634417984902929E-4</v>
      </c>
      <c r="H624">
        <f t="shared" si="481"/>
        <v>-3.1413863058201512</v>
      </c>
      <c r="J624">
        <f t="shared" si="482"/>
        <v>15</v>
      </c>
      <c r="M624">
        <f t="shared" si="528"/>
        <v>7.4966647954440339E-4</v>
      </c>
      <c r="N624">
        <f t="shared" si="484"/>
        <v>-1.5707963250000001</v>
      </c>
      <c r="O624">
        <f t="shared" si="529"/>
        <v>1333.4179593422534</v>
      </c>
      <c r="P624">
        <f t="shared" si="486"/>
        <v>1.5700463743237063</v>
      </c>
      <c r="Q624">
        <f t="shared" si="530"/>
        <v>1847.4452444030358</v>
      </c>
      <c r="R624">
        <f t="shared" si="488"/>
        <v>1.5702550387367733</v>
      </c>
      <c r="S624">
        <f t="shared" si="531"/>
        <v>5.9540636796786067E-3</v>
      </c>
      <c r="T624">
        <f t="shared" si="490"/>
        <v>-1.5648422279351963</v>
      </c>
      <c r="U624">
        <f t="shared" si="491"/>
        <v>0.89128815183872157</v>
      </c>
      <c r="V624">
        <f t="shared" si="492"/>
        <v>-0.47061818171069392</v>
      </c>
      <c r="X624">
        <f t="shared" si="532"/>
        <v>-39.704668541541807</v>
      </c>
      <c r="Y624">
        <f t="shared" si="533"/>
        <v>-116.89013903508268</v>
      </c>
      <c r="Z624">
        <f t="shared" si="510"/>
        <v>63.109860964917317</v>
      </c>
      <c r="AC624">
        <v>1</v>
      </c>
      <c r="AD624">
        <f t="shared" si="494"/>
        <v>1333.417584366</v>
      </c>
      <c r="AE624">
        <f t="shared" si="495"/>
        <v>-3.7701493941824829E-2</v>
      </c>
      <c r="AF624">
        <f t="shared" si="496"/>
        <v>7.4107029020850007E-2</v>
      </c>
      <c r="AG624">
        <f t="shared" si="535"/>
        <v>14288.193153778948</v>
      </c>
      <c r="AH624">
        <f t="shared" si="536"/>
        <v>-7282.5241378247565</v>
      </c>
      <c r="AJ624">
        <f t="shared" si="497"/>
        <v>18000</v>
      </c>
      <c r="AK624">
        <f t="shared" si="498"/>
        <v>3023091.7752419999</v>
      </c>
      <c r="AL624">
        <v>1</v>
      </c>
      <c r="AM624">
        <f t="shared" si="499"/>
        <v>1847.444973759</v>
      </c>
      <c r="AN624">
        <f t="shared" si="537"/>
        <v>1636.3684307901806</v>
      </c>
      <c r="AO624">
        <f t="shared" si="538"/>
        <v>-8.8574392209986677</v>
      </c>
      <c r="AQ624">
        <f t="shared" si="500"/>
        <v>1.234567885992989E-4</v>
      </c>
      <c r="AR624">
        <f t="shared" si="501"/>
        <v>-1.1111110973936902</v>
      </c>
      <c r="AT624">
        <f t="shared" si="523"/>
        <v>-8089.9294121328503</v>
      </c>
      <c r="AU624">
        <f t="shared" si="524"/>
        <v>-15876.669051911289</v>
      </c>
      <c r="AV624">
        <f t="shared" si="511"/>
        <v>-2.0420533498661264</v>
      </c>
      <c r="AW624">
        <f t="shared" si="512"/>
        <v>33725.941495545543</v>
      </c>
      <c r="AX624">
        <f t="shared" si="513"/>
        <v>-18309.426972491823</v>
      </c>
      <c r="AY624">
        <f t="shared" si="521"/>
        <v>-0.49736696285305432</v>
      </c>
      <c r="BA624">
        <f t="shared" si="502"/>
        <v>0.46433259686168404</v>
      </c>
      <c r="BB624">
        <f t="shared" si="514"/>
        <v>-6.663416542475086</v>
      </c>
      <c r="BC624">
        <f t="shared" si="515"/>
        <v>-1.544686387013072</v>
      </c>
      <c r="BD624">
        <f t="shared" si="503"/>
        <v>-268.50401074829131</v>
      </c>
      <c r="BF624">
        <f t="shared" si="504"/>
        <v>-66.192836612865335</v>
      </c>
      <c r="BG624">
        <f t="shared" si="505"/>
        <v>-178.69687638436284</v>
      </c>
      <c r="BH624">
        <f t="shared" si="516"/>
        <v>1.3031236156371619</v>
      </c>
      <c r="BI624">
        <f t="shared" si="517"/>
        <v>1.3031236156371619</v>
      </c>
      <c r="BJ624">
        <f t="shared" si="506"/>
        <v>0</v>
      </c>
      <c r="BK624">
        <f t="shared" si="518"/>
        <v>0</v>
      </c>
      <c r="BM624">
        <f t="shared" si="519"/>
        <v>-59.529420070390245</v>
      </c>
      <c r="BN624">
        <f t="shared" si="507"/>
        <v>-90.192865636071573</v>
      </c>
      <c r="BQ624" s="66">
        <f t="shared" si="520"/>
        <v>10.238544257810052</v>
      </c>
    </row>
    <row r="625" spans="1:69" x14ac:dyDescent="0.2">
      <c r="A625">
        <f t="shared" si="534"/>
        <v>4750000</v>
      </c>
      <c r="B625">
        <f t="shared" si="508"/>
        <v>4750</v>
      </c>
      <c r="C625">
        <f t="shared" si="477"/>
        <v>295.46848096522211</v>
      </c>
      <c r="D625">
        <f t="shared" si="526"/>
        <v>1.5674118645814206</v>
      </c>
      <c r="F625">
        <f t="shared" si="479"/>
        <v>2.2565511785995408E-7</v>
      </c>
      <c r="G625">
        <f t="shared" si="527"/>
        <v>1.9548395506116707E-4</v>
      </c>
      <c r="H625">
        <f t="shared" si="481"/>
        <v>-3.1413971660449391</v>
      </c>
      <c r="J625">
        <f t="shared" si="482"/>
        <v>15</v>
      </c>
      <c r="M625">
        <f t="shared" si="528"/>
        <v>7.1021034904206637E-4</v>
      </c>
      <c r="N625">
        <f t="shared" si="484"/>
        <v>-1.5707963250000001</v>
      </c>
      <c r="O625">
        <f t="shared" si="529"/>
        <v>1407.4966942936662</v>
      </c>
      <c r="P625">
        <f t="shared" si="486"/>
        <v>1.5700858454927487</v>
      </c>
      <c r="Q625">
        <f t="shared" si="530"/>
        <v>1950.0810620341149</v>
      </c>
      <c r="R625">
        <f t="shared" si="488"/>
        <v>1.5702835275768046</v>
      </c>
      <c r="S625">
        <f t="shared" si="531"/>
        <v>5.6407021547317743E-3</v>
      </c>
      <c r="T625">
        <f t="shared" si="490"/>
        <v>-1.5651555947275435</v>
      </c>
      <c r="U625">
        <f t="shared" si="491"/>
        <v>0.88100532034221235</v>
      </c>
      <c r="V625">
        <f t="shared" si="492"/>
        <v>-0.4928133772017087</v>
      </c>
      <c r="X625">
        <f t="shared" si="532"/>
        <v>-40.275072992092483</v>
      </c>
      <c r="Y625">
        <f t="shared" si="533"/>
        <v>-118.16574009306365</v>
      </c>
      <c r="Z625">
        <f t="shared" si="510"/>
        <v>61.834259906936353</v>
      </c>
      <c r="AC625">
        <v>1</v>
      </c>
      <c r="AD625">
        <f t="shared" si="494"/>
        <v>1407.4963390530002</v>
      </c>
      <c r="AE625">
        <f t="shared" si="495"/>
        <v>-4.2006911459872724E-2</v>
      </c>
      <c r="AF625">
        <f t="shared" si="496"/>
        <v>7.8224086188675004E-2</v>
      </c>
      <c r="AG625">
        <f t="shared" si="535"/>
        <v>13960.407906813811</v>
      </c>
      <c r="AH625">
        <f t="shared" si="536"/>
        <v>-7509.6258391354831</v>
      </c>
      <c r="AJ625">
        <f t="shared" si="497"/>
        <v>18000</v>
      </c>
      <c r="AK625">
        <f t="shared" si="498"/>
        <v>3191041.3183109998</v>
      </c>
      <c r="AL625">
        <v>1</v>
      </c>
      <c r="AM625">
        <f t="shared" si="499"/>
        <v>1950.0808056344999</v>
      </c>
      <c r="AN625">
        <f t="shared" si="537"/>
        <v>1636.3679393947912</v>
      </c>
      <c r="AO625">
        <f t="shared" si="538"/>
        <v>-8.3912584613543526</v>
      </c>
      <c r="AQ625">
        <f t="shared" si="500"/>
        <v>1.1080332287198534E-4</v>
      </c>
      <c r="AR625">
        <f t="shared" si="501"/>
        <v>-1.0526315672838606</v>
      </c>
      <c r="AT625">
        <f t="shared" si="523"/>
        <v>-7903.3223571798371</v>
      </c>
      <c r="AU625">
        <f t="shared" si="524"/>
        <v>-14695.998146367923</v>
      </c>
      <c r="AV625">
        <f t="shared" si="511"/>
        <v>-2.0642149221412471</v>
      </c>
      <c r="AW625">
        <f t="shared" si="512"/>
        <v>32990.543409780119</v>
      </c>
      <c r="AX625">
        <f t="shared" si="513"/>
        <v>-18717.053621964926</v>
      </c>
      <c r="AY625">
        <f t="shared" si="521"/>
        <v>-0.51606308914643162</v>
      </c>
      <c r="BA625">
        <f t="shared" si="502"/>
        <v>0.43992239931356136</v>
      </c>
      <c r="BB625">
        <f t="shared" si="514"/>
        <v>-7.1324784940104289</v>
      </c>
      <c r="BC625">
        <f t="shared" si="515"/>
        <v>-1.5481518329948156</v>
      </c>
      <c r="BD625">
        <f t="shared" si="503"/>
        <v>-268.70256617740267</v>
      </c>
      <c r="BF625">
        <f t="shared" si="504"/>
        <v>-67.131526369081328</v>
      </c>
      <c r="BG625">
        <f t="shared" si="505"/>
        <v>-178.88528106993761</v>
      </c>
      <c r="BH625">
        <f t="shared" si="516"/>
        <v>1.114718930062395</v>
      </c>
      <c r="BI625">
        <f t="shared" si="517"/>
        <v>1.114718930062395</v>
      </c>
      <c r="BJ625">
        <f t="shared" si="506"/>
        <v>0</v>
      </c>
      <c r="BK625">
        <f t="shared" si="518"/>
        <v>0</v>
      </c>
      <c r="BM625">
        <f t="shared" si="519"/>
        <v>-59.999047875070886</v>
      </c>
      <c r="BN625">
        <f t="shared" si="507"/>
        <v>-90.182714892534946</v>
      </c>
      <c r="BQ625" s="66">
        <f t="shared" si="520"/>
        <v>9.7694823062747069</v>
      </c>
    </row>
    <row r="626" spans="1:69" x14ac:dyDescent="0.2">
      <c r="A626">
        <f t="shared" si="534"/>
        <v>5000000</v>
      </c>
      <c r="B626">
        <f t="shared" si="508"/>
        <v>5000</v>
      </c>
      <c r="C626">
        <f t="shared" si="477"/>
        <v>311.01927997153484</v>
      </c>
      <c r="D626">
        <f t="shared" si="526"/>
        <v>1.5675810864951465</v>
      </c>
      <c r="F626">
        <f t="shared" si="479"/>
        <v>2.0365373972936664E-7</v>
      </c>
      <c r="G626">
        <f t="shared" si="527"/>
        <v>1.8570975341825497E-4</v>
      </c>
      <c r="H626">
        <f t="shared" si="481"/>
        <v>-3.1414069402465818</v>
      </c>
      <c r="J626">
        <f t="shared" si="482"/>
        <v>15</v>
      </c>
      <c r="M626">
        <f t="shared" si="528"/>
        <v>6.7469983158996308E-4</v>
      </c>
      <c r="N626">
        <f t="shared" si="484"/>
        <v>-1.5707963250000001</v>
      </c>
      <c r="O626">
        <f t="shared" si="529"/>
        <v>1481.5754312186373</v>
      </c>
      <c r="P626">
        <f t="shared" si="486"/>
        <v>1.5701213695467831</v>
      </c>
      <c r="Q626">
        <f t="shared" si="530"/>
        <v>2052.7168810896355</v>
      </c>
      <c r="R626">
        <f t="shared" si="488"/>
        <v>1.5703091675335459</v>
      </c>
      <c r="S626">
        <f t="shared" si="531"/>
        <v>5.3586753588651609E-3</v>
      </c>
      <c r="T626">
        <f t="shared" si="490"/>
        <v>-1.5654376257896143</v>
      </c>
      <c r="U626">
        <f t="shared" si="491"/>
        <v>0.87054287476327541</v>
      </c>
      <c r="V626">
        <f t="shared" si="492"/>
        <v>-0.51449188402941592</v>
      </c>
      <c r="X626">
        <f t="shared" si="532"/>
        <v>-40.824360082571083</v>
      </c>
      <c r="Y626">
        <f t="shared" si="533"/>
        <v>-119.41134611077746</v>
      </c>
      <c r="Z626">
        <f t="shared" si="510"/>
        <v>60.588653889222542</v>
      </c>
      <c r="AC626">
        <v>1</v>
      </c>
      <c r="AD626">
        <f t="shared" si="494"/>
        <v>1481.5750937400001</v>
      </c>
      <c r="AE626">
        <f t="shared" si="495"/>
        <v>-4.6545054249166461E-2</v>
      </c>
      <c r="AF626">
        <f t="shared" si="496"/>
        <v>8.2341143356500002E-2</v>
      </c>
      <c r="AG626">
        <f t="shared" si="535"/>
        <v>13630.80096511993</v>
      </c>
      <c r="AH626">
        <f t="shared" si="536"/>
        <v>-7717.2400634504384</v>
      </c>
      <c r="AJ626">
        <f t="shared" si="497"/>
        <v>18000</v>
      </c>
      <c r="AK626">
        <f t="shared" si="498"/>
        <v>3358990.8613799997</v>
      </c>
      <c r="AL626">
        <v>1</v>
      </c>
      <c r="AM626">
        <f t="shared" si="499"/>
        <v>2052.7166375100001</v>
      </c>
      <c r="AN626">
        <f t="shared" si="537"/>
        <v>1636.3675198493531</v>
      </c>
      <c r="AO626">
        <f t="shared" si="538"/>
        <v>-7.9716957426720958</v>
      </c>
      <c r="AQ626">
        <f t="shared" si="500"/>
        <v>9.9999999000000009E-5</v>
      </c>
      <c r="AR626">
        <f t="shared" si="501"/>
        <v>-0.99999999000000006</v>
      </c>
      <c r="AT626">
        <f t="shared" si="523"/>
        <v>-7715.8769061951571</v>
      </c>
      <c r="AU626">
        <f t="shared" si="524"/>
        <v>-13631.57255281055</v>
      </c>
      <c r="AV626">
        <f t="shared" si="511"/>
        <v>-2.0858631680727591</v>
      </c>
      <c r="AW626">
        <f t="shared" si="512"/>
        <v>32250.908014253851</v>
      </c>
      <c r="AX626">
        <f t="shared" si="513"/>
        <v>-19091.15765624186</v>
      </c>
      <c r="AY626">
        <f t="shared" si="521"/>
        <v>-0.53448469806084753</v>
      </c>
      <c r="BA626">
        <f t="shared" si="502"/>
        <v>0.41794749891440852</v>
      </c>
      <c r="BB626">
        <f t="shared" si="514"/>
        <v>-7.5775653866903259</v>
      </c>
      <c r="BC626">
        <f t="shared" si="515"/>
        <v>-1.5513784700119115</v>
      </c>
      <c r="BD626">
        <f t="shared" si="503"/>
        <v>-268.88743886071416</v>
      </c>
      <c r="BF626">
        <f t="shared" si="504"/>
        <v>-68.022146182804548</v>
      </c>
      <c r="BG626">
        <f t="shared" si="505"/>
        <v>-179.0610180722833</v>
      </c>
      <c r="BH626">
        <f t="shared" si="516"/>
        <v>0.93898192771669642</v>
      </c>
      <c r="BI626">
        <f t="shared" si="517"/>
        <v>0.93898192771669642</v>
      </c>
      <c r="BJ626">
        <f t="shared" si="506"/>
        <v>0</v>
      </c>
      <c r="BK626">
        <f t="shared" si="518"/>
        <v>0</v>
      </c>
      <c r="BM626">
        <f t="shared" si="519"/>
        <v>-60.444580796114224</v>
      </c>
      <c r="BN626">
        <f t="shared" si="507"/>
        <v>-90.173579211569134</v>
      </c>
      <c r="BQ626" s="66">
        <f t="shared" si="520"/>
        <v>9.3243954135948108</v>
      </c>
    </row>
    <row r="627" spans="1:69" x14ac:dyDescent="0.2">
      <c r="A627">
        <f>A626+100000</f>
        <v>5100000</v>
      </c>
      <c r="B627">
        <f t="shared" si="508"/>
        <v>5100</v>
      </c>
      <c r="C627">
        <f t="shared" ref="C627:C676" si="539">SQRT((A627/Fesr)^2+1)</f>
        <v>317.23960189670214</v>
      </c>
      <c r="D627">
        <f t="shared" ref="D627:D676" si="540">ATAN(A627/Fesr)</f>
        <v>1.5676441300007997</v>
      </c>
      <c r="F627">
        <f t="shared" ref="F627:F676" si="541">(Ro/(Ro+Rdcr))/SQRT((A627/(Q*Fo))^2+(1-(A627^2/Fo^2))^2)</f>
        <v>1.9574561538020674E-7</v>
      </c>
      <c r="G627">
        <f t="shared" ref="G627:G676" si="542">-ATAN(A627*Fo/(Q*(Fo^2-A627^2)))</f>
        <v>1.820683843334264E-4</v>
      </c>
      <c r="H627">
        <f t="shared" si="481"/>
        <v>-3.1414105816156668</v>
      </c>
      <c r="J627">
        <f t="shared" si="482"/>
        <v>15</v>
      </c>
      <c r="M627">
        <f t="shared" ref="M627:M676" si="543">1/(2*Pi*_Rfb1*(Cc1ea_u+Cc2ea_u)*A627)</f>
        <v>6.6147042312741477E-4</v>
      </c>
      <c r="N627">
        <f t="shared" si="484"/>
        <v>-1.5707963250000001</v>
      </c>
      <c r="O627">
        <f t="shared" ref="O627:O676" si="544">SQRT(1+(A627/Fz1_u)^2)</f>
        <v>1511.2069264762104</v>
      </c>
      <c r="P627">
        <f t="shared" si="486"/>
        <v>1.5701346039987265</v>
      </c>
      <c r="Q627">
        <f t="shared" ref="Q627:Q676" si="545">SQRT(1+(A627/Fz2_u)^2)</f>
        <v>2093.7712090637647</v>
      </c>
      <c r="R627">
        <f t="shared" si="488"/>
        <v>1.5703187196744581</v>
      </c>
      <c r="S627">
        <f t="shared" ref="S627:S676" si="546">1/SQRT(1+(A627/Fp1_u)^2)</f>
        <v>5.2536062220333007E-3</v>
      </c>
      <c r="T627">
        <f t="shared" si="490"/>
        <v>-1.5655426964056434</v>
      </c>
      <c r="U627">
        <f t="shared" ref="U627:U676" si="547">1/SQRT(1+(A627/Fp2_u)^2)</f>
        <v>0.8663155772742831</v>
      </c>
      <c r="V627">
        <f t="shared" si="492"/>
        <v>-0.52301813661277419</v>
      </c>
      <c r="X627">
        <f t="shared" ref="X627:X676" si="548">20*LOG(C627*J627*O627*Q627*F627*M627*S627*U627)</f>
        <v>-41.038641432884361</v>
      </c>
      <c r="Y627">
        <f t="shared" ref="Y627:Y676" si="549">(180/Pi)*(D627+H627+N627+P627+R627+T627+V627)</f>
        <v>-119.90117543495589</v>
      </c>
      <c r="Z627">
        <f t="shared" si="510"/>
        <v>60.098824565044112</v>
      </c>
      <c r="AC627">
        <v>1</v>
      </c>
      <c r="AD627">
        <f t="shared" ref="AD627:AD676" si="550">Rcea1_u*Cc1ea_u*A627*2*Pi</f>
        <v>1511.2065956148003</v>
      </c>
      <c r="AE627">
        <f t="shared" ref="AE627:AE676" si="551">-Rcea1_u*Cc1ea_u*Cc2ea_u*(A627*2*Pi)^2</f>
        <v>-4.8425474440832776E-2</v>
      </c>
      <c r="AF627">
        <f t="shared" ref="AF627:AF676" si="552">(Cc2ea_u+Cc1ea_u)*A627*2*Pi</f>
        <v>8.3987966223630001E-2</v>
      </c>
      <c r="AG627">
        <f t="shared" ref="AG627:AG676" si="553">AC627*AE627/(AE627^2+AF627^2)+AD627*AF627/(AE627^2+AF627^2)</f>
        <v>13498.741880105435</v>
      </c>
      <c r="AH627">
        <f t="shared" ref="AH627:AH676" si="554">AD627*AE627/(AE627^2+AF627^2)-AC627*AF627/(AE627^2+AF627^2)</f>
        <v>-7794.9616990993372</v>
      </c>
      <c r="AJ627">
        <f t="shared" si="497"/>
        <v>18000</v>
      </c>
      <c r="AK627">
        <f t="shared" ref="AK627:AK676" si="555">_Rfb1*Rcea2_u*Cc3ea_u*A627*2*Pi</f>
        <v>3426170.6786075993</v>
      </c>
      <c r="AL627">
        <v>2</v>
      </c>
      <c r="AM627">
        <f t="shared" ref="AM627:AM676" si="556">(_Rfb1+Rcea2_u)*Cc3ea_u*A627*2*Pi</f>
        <v>2093.7709702602001</v>
      </c>
      <c r="AN627">
        <f t="shared" ref="AN627:AN676" si="557">AJ627*AL627/(AL627^2+AM627^2)+AK627*AM627/(AL627^2+AM627^2)</f>
        <v>1636.3703551925207</v>
      </c>
      <c r="AO627">
        <f t="shared" ref="AO627:AO676" si="558">AK627*AL627/(AL627^2+AM627^2)-AJ627*AM627/(AL627^2+AM627^2)</f>
        <v>-7.0338444360916661</v>
      </c>
      <c r="AQ627">
        <f t="shared" ref="AQ627:AQ676" si="559">Eadcg/(1+(Eadcg*A627/GBP)^2)</f>
        <v>9.6116877199953123E-5</v>
      </c>
      <c r="AR627">
        <f t="shared" ref="AR627:AR676" si="560">-(A627*Eadcg*Eadcg/GBP)/(1+(Eadcg*A627/GBP)^2)</f>
        <v>-0.98039214743952185</v>
      </c>
      <c r="AT627">
        <f t="shared" ref="AT627:AT676" si="561">-AR627*AH627+AG627*AQ627</f>
        <v>-7640.8217824731792</v>
      </c>
      <c r="AU627">
        <f t="shared" ref="AU627:AU676" si="562">AQ627*AH627+AG627*AR627</f>
        <v>-13234.809766944787</v>
      </c>
      <c r="AV627">
        <f t="shared" si="511"/>
        <v>-2.0943781469884684</v>
      </c>
      <c r="AW627">
        <f t="shared" si="512"/>
        <v>31959.987305259066</v>
      </c>
      <c r="AX627">
        <f t="shared" si="513"/>
        <v>-19222.55275795154</v>
      </c>
      <c r="AY627">
        <f t="shared" si="521"/>
        <v>-0.54149001280034448</v>
      </c>
      <c r="BA627">
        <f t="shared" si="502"/>
        <v>0.40975803526225674</v>
      </c>
      <c r="BB627">
        <f t="shared" si="514"/>
        <v>-7.749450425150842</v>
      </c>
      <c r="BC627">
        <f t="shared" si="515"/>
        <v>-1.552888134188124</v>
      </c>
      <c r="BD627">
        <f t="shared" si="503"/>
        <v>-268.97393624659207</v>
      </c>
      <c r="BF627">
        <f t="shared" si="504"/>
        <v>-68.366036463333415</v>
      </c>
      <c r="BG627">
        <f t="shared" si="505"/>
        <v>-179.14411196643789</v>
      </c>
      <c r="BH627">
        <f t="shared" si="516"/>
        <v>0.85588803356210974</v>
      </c>
      <c r="BI627">
        <f t="shared" si="517"/>
        <v>0.85588803356210974</v>
      </c>
      <c r="BJ627">
        <f t="shared" si="506"/>
        <v>0</v>
      </c>
      <c r="BK627">
        <f t="shared" si="518"/>
        <v>0</v>
      </c>
      <c r="BM627">
        <f t="shared" si="519"/>
        <v>-60.616586038182582</v>
      </c>
      <c r="BN627">
        <f t="shared" si="507"/>
        <v>-90.170175719845801</v>
      </c>
      <c r="BQ627" s="66">
        <f t="shared" si="520"/>
        <v>9.1525103751342947</v>
      </c>
    </row>
    <row r="628" spans="1:69" x14ac:dyDescent="0.2">
      <c r="A628">
        <f t="shared" ref="A628:A676" si="563">A627+100000</f>
        <v>5200000</v>
      </c>
      <c r="B628">
        <f t="shared" si="508"/>
        <v>5200</v>
      </c>
      <c r="C628">
        <f t="shared" si="539"/>
        <v>323.45992503423878</v>
      </c>
      <c r="D628">
        <f t="shared" si="540"/>
        <v>1.5677047487798714</v>
      </c>
      <c r="F628">
        <f t="shared" si="541"/>
        <v>1.8828932769857072E-7</v>
      </c>
      <c r="G628">
        <f t="shared" si="542"/>
        <v>1.7856706798251911E-4</v>
      </c>
      <c r="H628">
        <f t="shared" si="481"/>
        <v>-3.1414140829320178</v>
      </c>
      <c r="J628">
        <f t="shared" si="482"/>
        <v>15</v>
      </c>
      <c r="M628">
        <f t="shared" si="543"/>
        <v>6.4874983806727216E-4</v>
      </c>
      <c r="N628">
        <f t="shared" si="484"/>
        <v>-1.5707963250000001</v>
      </c>
      <c r="O628">
        <f t="shared" si="544"/>
        <v>1540.8384219882921</v>
      </c>
      <c r="P628">
        <f t="shared" si="486"/>
        <v>1.570147329433506</v>
      </c>
      <c r="Q628">
        <f t="shared" si="545"/>
        <v>2134.825537221589</v>
      </c>
      <c r="R628">
        <f t="shared" si="488"/>
        <v>1.5703279044254175</v>
      </c>
      <c r="S628">
        <f t="shared" si="546"/>
        <v>5.1525780417193273E-3</v>
      </c>
      <c r="T628">
        <f t="shared" si="490"/>
        <v>-1.5656437259535538</v>
      </c>
      <c r="U628">
        <f t="shared" si="547"/>
        <v>0.86206737484146845</v>
      </c>
      <c r="V628">
        <f t="shared" si="492"/>
        <v>-0.53146137665201942</v>
      </c>
      <c r="X628">
        <f t="shared" si="548"/>
        <v>-41.250000313975747</v>
      </c>
      <c r="Y628">
        <f t="shared" si="549"/>
        <v>-120.38619807115455</v>
      </c>
      <c r="Z628">
        <f t="shared" si="510"/>
        <v>59.613801928845447</v>
      </c>
      <c r="AC628">
        <v>1</v>
      </c>
      <c r="AD628">
        <f t="shared" si="550"/>
        <v>1540.8380974896002</v>
      </c>
      <c r="AE628">
        <f t="shared" si="551"/>
        <v>-5.0343130675898434E-2</v>
      </c>
      <c r="AF628">
        <f t="shared" si="552"/>
        <v>8.563478909076E-2</v>
      </c>
      <c r="AG628">
        <f t="shared" si="553"/>
        <v>13366.677340054228</v>
      </c>
      <c r="AH628">
        <f t="shared" si="554"/>
        <v>-7869.7033202086386</v>
      </c>
      <c r="AJ628">
        <f t="shared" si="497"/>
        <v>18000</v>
      </c>
      <c r="AK628">
        <f t="shared" si="555"/>
        <v>3493350.4958351995</v>
      </c>
      <c r="AL628">
        <v>3</v>
      </c>
      <c r="AM628">
        <f t="shared" si="556"/>
        <v>2134.8253030104001</v>
      </c>
      <c r="AN628">
        <f t="shared" si="557"/>
        <v>1636.372253550699</v>
      </c>
      <c r="AO628">
        <f t="shared" si="558"/>
        <v>-6.1320629940482432</v>
      </c>
      <c r="AQ628">
        <f t="shared" si="559"/>
        <v>9.2455620446970963E-5</v>
      </c>
      <c r="AR628">
        <f t="shared" si="560"/>
        <v>-0.96153845264849802</v>
      </c>
      <c r="AT628">
        <f t="shared" si="561"/>
        <v>-7565.786528869372</v>
      </c>
      <c r="AU628">
        <f t="shared" si="562"/>
        <v>-12853.301844910688</v>
      </c>
      <c r="AV628">
        <f t="shared" si="511"/>
        <v>-2.102810546962449</v>
      </c>
      <c r="AW628">
        <f t="shared" si="512"/>
        <v>31668.87595259447</v>
      </c>
      <c r="AX628">
        <f t="shared" si="513"/>
        <v>-19349.064135594333</v>
      </c>
      <c r="AY628">
        <f t="shared" si="521"/>
        <v>-0.54845426515261753</v>
      </c>
      <c r="BA628">
        <f t="shared" si="502"/>
        <v>0.40188318244783217</v>
      </c>
      <c r="BB628">
        <f t="shared" si="514"/>
        <v>-7.9180033458245642</v>
      </c>
      <c r="BC628">
        <f t="shared" si="515"/>
        <v>-1.5543562818098313</v>
      </c>
      <c r="BD628">
        <f t="shared" si="503"/>
        <v>-269.05805490911422</v>
      </c>
      <c r="BF628">
        <f t="shared" si="504"/>
        <v>-68.703254438340466</v>
      </c>
      <c r="BG628">
        <f t="shared" si="505"/>
        <v>-179.22495803940589</v>
      </c>
      <c r="BH628">
        <f t="shared" si="516"/>
        <v>0.77504196059410901</v>
      </c>
      <c r="BI628">
        <f t="shared" si="517"/>
        <v>0.77504196059410901</v>
      </c>
      <c r="BJ628">
        <f t="shared" si="506"/>
        <v>0</v>
      </c>
      <c r="BK628">
        <f t="shared" si="518"/>
        <v>0</v>
      </c>
      <c r="BM628">
        <f t="shared" si="519"/>
        <v>-60.7852510925159</v>
      </c>
      <c r="BN628">
        <f t="shared" si="507"/>
        <v>-90.166903130291672</v>
      </c>
      <c r="BQ628" s="66">
        <f t="shared" si="520"/>
        <v>8.9839574544605725</v>
      </c>
    </row>
    <row r="629" spans="1:69" x14ac:dyDescent="0.2">
      <c r="A629">
        <f t="shared" si="563"/>
        <v>5300000</v>
      </c>
      <c r="B629">
        <f t="shared" si="508"/>
        <v>5300</v>
      </c>
      <c r="C629">
        <f t="shared" si="539"/>
        <v>329.68024931552065</v>
      </c>
      <c r="D629">
        <f t="shared" si="540"/>
        <v>1.5677630800793023</v>
      </c>
      <c r="F629">
        <f t="shared" si="541"/>
        <v>1.8125109960362496E-7</v>
      </c>
      <c r="G629">
        <f t="shared" si="542"/>
        <v>1.7519787684665836E-4</v>
      </c>
      <c r="H629">
        <f t="shared" si="481"/>
        <v>-3.1414174521231537</v>
      </c>
      <c r="J629">
        <f t="shared" si="482"/>
        <v>15</v>
      </c>
      <c r="M629">
        <f t="shared" si="543"/>
        <v>6.3650927508487084E-4</v>
      </c>
      <c r="N629">
        <f t="shared" si="484"/>
        <v>-1.5707963250000001</v>
      </c>
      <c r="O629">
        <f t="shared" si="544"/>
        <v>1570.4699177404766</v>
      </c>
      <c r="P629">
        <f t="shared" si="486"/>
        <v>1.5701595746633981</v>
      </c>
      <c r="Q629">
        <f t="shared" si="545"/>
        <v>2175.8798655527107</v>
      </c>
      <c r="R629">
        <f t="shared" si="488"/>
        <v>1.5703367425820758</v>
      </c>
      <c r="S629">
        <f t="shared" si="546"/>
        <v>5.0553620965730506E-3</v>
      </c>
      <c r="T629">
        <f t="shared" si="490"/>
        <v>-1.5657409431650258</v>
      </c>
      <c r="U629">
        <f t="shared" si="547"/>
        <v>0.8578003770626067</v>
      </c>
      <c r="V629">
        <f t="shared" si="492"/>
        <v>-0.53982162434454839</v>
      </c>
      <c r="X629">
        <f t="shared" si="548"/>
        <v>-41.458547767703429</v>
      </c>
      <c r="Y629">
        <f t="shared" si="549"/>
        <v>-120.86641803017692</v>
      </c>
      <c r="Z629">
        <f t="shared" si="510"/>
        <v>59.133581969823084</v>
      </c>
      <c r="AC629">
        <v>1</v>
      </c>
      <c r="AD629">
        <f t="shared" si="550"/>
        <v>1570.4695993644002</v>
      </c>
      <c r="AE629">
        <f t="shared" si="551"/>
        <v>-5.2298022954363435E-2</v>
      </c>
      <c r="AF629">
        <f t="shared" si="552"/>
        <v>8.7281611957890012E-2</v>
      </c>
      <c r="AG629">
        <f t="shared" si="553"/>
        <v>13234.682025273876</v>
      </c>
      <c r="AH629">
        <f t="shared" si="554"/>
        <v>-7941.5089708229871</v>
      </c>
      <c r="AJ629">
        <f t="shared" si="497"/>
        <v>18000</v>
      </c>
      <c r="AK629">
        <f t="shared" si="555"/>
        <v>3560530.3130627996</v>
      </c>
      <c r="AL629">
        <v>4</v>
      </c>
      <c r="AM629">
        <f t="shared" si="556"/>
        <v>2175.8796357605997</v>
      </c>
      <c r="AN629">
        <f t="shared" si="557"/>
        <v>1636.3733139409239</v>
      </c>
      <c r="AO629">
        <f t="shared" si="558"/>
        <v>-5.2643108359402753</v>
      </c>
      <c r="AQ629">
        <f t="shared" si="559"/>
        <v>8.8999643209330341E-5</v>
      </c>
      <c r="AR629">
        <f t="shared" si="560"/>
        <v>-0.94339621801890161</v>
      </c>
      <c r="AT629">
        <f t="shared" si="561"/>
        <v>-7490.8116464593468</v>
      </c>
      <c r="AU629">
        <f t="shared" si="562"/>
        <v>-12486.255760791058</v>
      </c>
      <c r="AV629">
        <f t="shared" si="511"/>
        <v>-2.1111603636485818</v>
      </c>
      <c r="AW629">
        <f t="shared" si="512"/>
        <v>31377.74943951673</v>
      </c>
      <c r="AX629">
        <f t="shared" si="513"/>
        <v>-19470.688337139338</v>
      </c>
      <c r="AY629">
        <f t="shared" si="521"/>
        <v>-0.55537510235870302</v>
      </c>
      <c r="BA629">
        <f t="shared" si="502"/>
        <v>0.3943051490220002</v>
      </c>
      <c r="BB629">
        <f t="shared" si="514"/>
        <v>-8.0833510333647922</v>
      </c>
      <c r="BC629">
        <f t="shared" si="515"/>
        <v>-1.5557852612898788</v>
      </c>
      <c r="BD629">
        <f t="shared" si="503"/>
        <v>-269.13992940242531</v>
      </c>
      <c r="BF629">
        <f t="shared" si="504"/>
        <v>-69.034054253279834</v>
      </c>
      <c r="BG629">
        <f t="shared" si="505"/>
        <v>-179.30368343587489</v>
      </c>
      <c r="BH629">
        <f t="shared" si="516"/>
        <v>0.69631656412511234</v>
      </c>
      <c r="BI629">
        <f t="shared" si="517"/>
        <v>0.69631656412511234</v>
      </c>
      <c r="BJ629">
        <f t="shared" si="506"/>
        <v>0</v>
      </c>
      <c r="BK629">
        <f t="shared" si="518"/>
        <v>0</v>
      </c>
      <c r="BM629">
        <f t="shared" si="519"/>
        <v>-60.950703219915034</v>
      </c>
      <c r="BN629">
        <f t="shared" si="507"/>
        <v>-90.163754033449635</v>
      </c>
      <c r="BQ629" s="66">
        <f t="shared" si="520"/>
        <v>8.8186097669203427</v>
      </c>
    </row>
    <row r="630" spans="1:69" x14ac:dyDescent="0.2">
      <c r="A630">
        <f t="shared" si="563"/>
        <v>5400000</v>
      </c>
      <c r="B630">
        <f t="shared" si="508"/>
        <v>5400</v>
      </c>
      <c r="C630">
        <f t="shared" si="539"/>
        <v>335.90057467700706</v>
      </c>
      <c r="D630">
        <f t="shared" si="540"/>
        <v>1.5678192509797495</v>
      </c>
      <c r="F630">
        <f t="shared" si="541"/>
        <v>1.746002522834122E-7</v>
      </c>
      <c r="G630">
        <f t="shared" si="542"/>
        <v>1.7195347063109724E-4</v>
      </c>
      <c r="H630">
        <f t="shared" si="481"/>
        <v>-3.1414206965293689</v>
      </c>
      <c r="J630">
        <f t="shared" si="482"/>
        <v>15</v>
      </c>
      <c r="M630">
        <f t="shared" si="543"/>
        <v>6.2472206628700288E-4</v>
      </c>
      <c r="N630">
        <f t="shared" si="484"/>
        <v>-1.5707963250000001</v>
      </c>
      <c r="O630">
        <f t="shared" si="544"/>
        <v>1600.1014137194247</v>
      </c>
      <c r="P630">
        <f t="shared" si="486"/>
        <v>1.5701713663664376</v>
      </c>
      <c r="Q630">
        <f t="shared" si="545"/>
        <v>2216.9341940475015</v>
      </c>
      <c r="R630">
        <f t="shared" si="488"/>
        <v>1.5703452533996662</v>
      </c>
      <c r="S630">
        <f t="shared" si="546"/>
        <v>4.9617466064828348E-3</v>
      </c>
      <c r="T630">
        <f t="shared" si="490"/>
        <v>-1.5658345598293733</v>
      </c>
      <c r="U630">
        <f t="shared" si="547"/>
        <v>0.85351663764903751</v>
      </c>
      <c r="V630">
        <f t="shared" si="492"/>
        <v>-0.54809894589487862</v>
      </c>
      <c r="X630">
        <f t="shared" si="548"/>
        <v>-41.66438794816321</v>
      </c>
      <c r="Y630">
        <f t="shared" si="549"/>
        <v>-121.34184174749647</v>
      </c>
      <c r="Z630">
        <f t="shared" si="510"/>
        <v>58.658158252503526</v>
      </c>
      <c r="AC630">
        <v>1</v>
      </c>
      <c r="AD630">
        <f t="shared" si="550"/>
        <v>1600.1011012392003</v>
      </c>
      <c r="AE630">
        <f t="shared" si="551"/>
        <v>-5.4290151276227765E-2</v>
      </c>
      <c r="AF630">
        <f t="shared" si="552"/>
        <v>8.8928434825020011E-2</v>
      </c>
      <c r="AG630">
        <f t="shared" si="553"/>
        <v>13102.827646069605</v>
      </c>
      <c r="AH630">
        <f t="shared" si="554"/>
        <v>-8010.4242973928667</v>
      </c>
      <c r="AJ630">
        <f t="shared" si="497"/>
        <v>18000</v>
      </c>
      <c r="AK630">
        <f t="shared" si="555"/>
        <v>3627710.1302903993</v>
      </c>
      <c r="AL630">
        <v>5</v>
      </c>
      <c r="AM630">
        <f t="shared" si="556"/>
        <v>2216.9339685107998</v>
      </c>
      <c r="AN630">
        <f t="shared" si="557"/>
        <v>1636.3736247043889</v>
      </c>
      <c r="AO630">
        <f t="shared" si="558"/>
        <v>-4.4286983807069706</v>
      </c>
      <c r="AQ630">
        <f t="shared" si="559"/>
        <v>8.5733881295148485E-5</v>
      </c>
      <c r="AR630">
        <f t="shared" si="560"/>
        <v>-0.9259259179876036</v>
      </c>
      <c r="AT630">
        <f t="shared" si="561"/>
        <v>-7415.9361147636555</v>
      </c>
      <c r="AU630">
        <f t="shared" si="562"/>
        <v>-12132.934481186187</v>
      </c>
      <c r="AV630">
        <f t="shared" si="511"/>
        <v>-2.119427640525906</v>
      </c>
      <c r="AW630">
        <f t="shared" si="512"/>
        <v>31086.775915126102</v>
      </c>
      <c r="AX630">
        <f t="shared" si="513"/>
        <v>-19587.432921904903</v>
      </c>
      <c r="AY630">
        <f t="shared" si="521"/>
        <v>-0.56225039334319127</v>
      </c>
      <c r="BA630">
        <f t="shared" si="502"/>
        <v>0.3870074601803144</v>
      </c>
      <c r="BB630">
        <f t="shared" si="514"/>
        <v>-8.245613263760422</v>
      </c>
      <c r="BC630">
        <f t="shared" si="515"/>
        <v>-1.5571772471827148</v>
      </c>
      <c r="BD630">
        <f t="shared" si="503"/>
        <v>-269.21968431931765</v>
      </c>
      <c r="BF630">
        <f t="shared" si="504"/>
        <v>-69.358675807690972</v>
      </c>
      <c r="BG630">
        <f t="shared" si="505"/>
        <v>-179.38040588801991</v>
      </c>
      <c r="BH630">
        <f t="shared" si="516"/>
        <v>0.61959411198009207</v>
      </c>
      <c r="BI630">
        <f t="shared" si="517"/>
        <v>0.61959411198009207</v>
      </c>
      <c r="BJ630">
        <f t="shared" si="506"/>
        <v>0</v>
      </c>
      <c r="BK630">
        <f t="shared" si="518"/>
        <v>0</v>
      </c>
      <c r="BM630">
        <f t="shared" si="519"/>
        <v>-61.113062543930553</v>
      </c>
      <c r="BN630">
        <f t="shared" si="507"/>
        <v>-90.160721568702257</v>
      </c>
      <c r="BQ630" s="66">
        <f t="shared" si="520"/>
        <v>8.6563475365247129</v>
      </c>
    </row>
    <row r="631" spans="1:69" x14ac:dyDescent="0.2">
      <c r="A631">
        <f t="shared" si="563"/>
        <v>5500000</v>
      </c>
      <c r="B631">
        <f t="shared" si="508"/>
        <v>5500</v>
      </c>
      <c r="C631">
        <f t="shared" si="539"/>
        <v>342.12090105977813</v>
      </c>
      <c r="D631">
        <f t="shared" si="540"/>
        <v>1.5678733793197768</v>
      </c>
      <c r="F631">
        <f t="shared" si="541"/>
        <v>1.6830887031383405E-7</v>
      </c>
      <c r="G631">
        <f t="shared" si="542"/>
        <v>1.6882704288115073E-4</v>
      </c>
      <c r="H631">
        <f t="shared" si="481"/>
        <v>-3.141423822957119</v>
      </c>
      <c r="J631">
        <f t="shared" si="482"/>
        <v>15</v>
      </c>
      <c r="M631">
        <f t="shared" si="543"/>
        <v>6.1336348326360276E-4</v>
      </c>
      <c r="N631">
        <f t="shared" si="484"/>
        <v>-1.5707963250000001</v>
      </c>
      <c r="O631">
        <f t="shared" si="544"/>
        <v>1629.7329099127669</v>
      </c>
      <c r="P631">
        <f t="shared" si="486"/>
        <v>1.5701827292804402</v>
      </c>
      <c r="Q631">
        <f t="shared" si="545"/>
        <v>2257.988522697035</v>
      </c>
      <c r="R631">
        <f t="shared" si="488"/>
        <v>1.5703534547330427</v>
      </c>
      <c r="S631">
        <f t="shared" si="546"/>
        <v>4.8715351925779915E-3</v>
      </c>
      <c r="T631">
        <f t="shared" si="490"/>
        <v>-1.5659247723336849</v>
      </c>
      <c r="U631">
        <f t="shared" si="547"/>
        <v>0.84921815382930599</v>
      </c>
      <c r="V631">
        <f t="shared" si="492"/>
        <v>-0.5562934516510476</v>
      </c>
      <c r="X631">
        <f t="shared" si="548"/>
        <v>-41.867618653521752</v>
      </c>
      <c r="Y631">
        <f t="shared" si="549"/>
        <v>-121.81247799569002</v>
      </c>
      <c r="Z631">
        <f t="shared" si="510"/>
        <v>58.187522004309983</v>
      </c>
      <c r="AC631">
        <v>1</v>
      </c>
      <c r="AD631">
        <f t="shared" si="550"/>
        <v>1629.7326031140001</v>
      </c>
      <c r="AE631">
        <f t="shared" si="551"/>
        <v>-5.631951564149143E-2</v>
      </c>
      <c r="AF631">
        <f t="shared" si="552"/>
        <v>9.0575257692149996E-2</v>
      </c>
      <c r="AG631">
        <f t="shared" si="553"/>
        <v>12971.182954270289</v>
      </c>
      <c r="AH631">
        <f t="shared" si="554"/>
        <v>-8076.496384564779</v>
      </c>
      <c r="AJ631">
        <f t="shared" si="497"/>
        <v>18000</v>
      </c>
      <c r="AK631">
        <f t="shared" si="555"/>
        <v>3694889.9475179994</v>
      </c>
      <c r="AL631">
        <v>6</v>
      </c>
      <c r="AM631">
        <f t="shared" si="556"/>
        <v>2257.9883012609998</v>
      </c>
      <c r="AN631">
        <f t="shared" si="557"/>
        <v>1636.3732647749202</v>
      </c>
      <c r="AO631">
        <f t="shared" si="558"/>
        <v>-3.6234733398668535</v>
      </c>
      <c r="AQ631">
        <f t="shared" si="559"/>
        <v>8.26446274161601E-5</v>
      </c>
      <c r="AR631">
        <f t="shared" si="560"/>
        <v>-0.90909090157776118</v>
      </c>
      <c r="AT631">
        <f t="shared" si="561"/>
        <v>-7341.1973812511205</v>
      </c>
      <c r="AU631">
        <f t="shared" si="562"/>
        <v>-11792.651885462194</v>
      </c>
      <c r="AV631">
        <f t="shared" si="511"/>
        <v>-2.127612466869742</v>
      </c>
      <c r="AW631">
        <f t="shared" si="512"/>
        <v>30796.116301315113</v>
      </c>
      <c r="AX631">
        <f t="shared" si="513"/>
        <v>-19699.315427298814</v>
      </c>
      <c r="AY631">
        <f t="shared" si="521"/>
        <v>-0.56907821089197841</v>
      </c>
      <c r="BA631">
        <f t="shared" si="502"/>
        <v>0.37997483818098865</v>
      </c>
      <c r="BB631">
        <f t="shared" si="514"/>
        <v>-8.4049032256088374</v>
      </c>
      <c r="BC631">
        <f t="shared" si="515"/>
        <v>-1.5585342559777637</v>
      </c>
      <c r="BD631">
        <f t="shared" si="503"/>
        <v>-269.29743519612498</v>
      </c>
      <c r="BF631">
        <f t="shared" si="504"/>
        <v>-69.677345800407394</v>
      </c>
      <c r="BG631">
        <f t="shared" si="505"/>
        <v>-179.45523457050328</v>
      </c>
      <c r="BH631">
        <f t="shared" si="516"/>
        <v>0.5447654294967208</v>
      </c>
      <c r="BI631">
        <f t="shared" si="517"/>
        <v>0.5447654294967208</v>
      </c>
      <c r="BJ631">
        <f t="shared" si="506"/>
        <v>0</v>
      </c>
      <c r="BK631">
        <f t="shared" si="518"/>
        <v>0</v>
      </c>
      <c r="BM631">
        <f t="shared" si="519"/>
        <v>-61.272442574798553</v>
      </c>
      <c r="BN631">
        <f t="shared" si="507"/>
        <v>-90.157799374378328</v>
      </c>
      <c r="BQ631" s="66">
        <f t="shared" si="520"/>
        <v>8.4970575746762993</v>
      </c>
    </row>
    <row r="632" spans="1:69" x14ac:dyDescent="0.2">
      <c r="A632">
        <f t="shared" si="563"/>
        <v>5600000</v>
      </c>
      <c r="B632">
        <f t="shared" si="508"/>
        <v>5600</v>
      </c>
      <c r="C632">
        <f t="shared" si="539"/>
        <v>348.34122840912272</v>
      </c>
      <c r="D632">
        <f t="shared" si="540"/>
        <v>1.5679255745210279</v>
      </c>
      <c r="F632">
        <f t="shared" si="541"/>
        <v>1.623515082580895E-7</v>
      </c>
      <c r="G632">
        <f t="shared" si="542"/>
        <v>1.6581227331785844E-4</v>
      </c>
      <c r="H632">
        <f t="shared" si="481"/>
        <v>-3.1414268377266823</v>
      </c>
      <c r="J632">
        <f t="shared" si="482"/>
        <v>15</v>
      </c>
      <c r="M632">
        <f t="shared" si="543"/>
        <v>6.0241056391960985E-4</v>
      </c>
      <c r="N632">
        <f t="shared" si="484"/>
        <v>-1.5707963250000001</v>
      </c>
      <c r="O632">
        <f t="shared" si="544"/>
        <v>1659.3644063090187</v>
      </c>
      <c r="P632">
        <f t="shared" si="486"/>
        <v>1.5701936863762356</v>
      </c>
      <c r="Q632">
        <f t="shared" si="545"/>
        <v>2299.0428514930204</v>
      </c>
      <c r="R632">
        <f t="shared" si="488"/>
        <v>1.5703613631617122</v>
      </c>
      <c r="S632">
        <f t="shared" si="546"/>
        <v>4.7845455022169489E-3</v>
      </c>
      <c r="T632">
        <f t="shared" si="490"/>
        <v>-1.5660117630379549</v>
      </c>
      <c r="U632">
        <f t="shared" si="547"/>
        <v>0.84490686591377284</v>
      </c>
      <c r="V632">
        <f t="shared" si="492"/>
        <v>-0.56440529425062014</v>
      </c>
      <c r="X632">
        <f t="shared" si="548"/>
        <v>-42.068331809800128</v>
      </c>
      <c r="Y632">
        <f t="shared" si="549"/>
        <v>-122.27833779536336</v>
      </c>
      <c r="Z632">
        <f t="shared" si="510"/>
        <v>57.721662204636644</v>
      </c>
      <c r="AC632">
        <v>1</v>
      </c>
      <c r="AD632">
        <f t="shared" si="550"/>
        <v>1659.3641049888001</v>
      </c>
      <c r="AE632">
        <f t="shared" si="551"/>
        <v>-5.8386116050154389E-2</v>
      </c>
      <c r="AF632">
        <f t="shared" si="552"/>
        <v>9.2222080559279995E-2</v>
      </c>
      <c r="AG632">
        <f t="shared" si="553"/>
        <v>12839.813762183694</v>
      </c>
      <c r="AH632">
        <f t="shared" si="554"/>
        <v>-8139.7735968307607</v>
      </c>
      <c r="AJ632">
        <f t="shared" si="497"/>
        <v>18000</v>
      </c>
      <c r="AK632">
        <f t="shared" si="555"/>
        <v>3762069.7647455996</v>
      </c>
      <c r="AL632">
        <v>7</v>
      </c>
      <c r="AM632">
        <f t="shared" si="556"/>
        <v>2299.0426340112003</v>
      </c>
      <c r="AN632">
        <f t="shared" si="557"/>
        <v>1636.3723047802366</v>
      </c>
      <c r="AO632">
        <f t="shared" si="558"/>
        <v>-2.8470084763580141</v>
      </c>
      <c r="AQ632">
        <f t="shared" si="559"/>
        <v>7.9719387119583961E-5</v>
      </c>
      <c r="AR632">
        <f t="shared" si="560"/>
        <v>-0.89285713573934045</v>
      </c>
      <c r="AT632">
        <f t="shared" si="561"/>
        <v>-7266.631357149171</v>
      </c>
      <c r="AU632">
        <f t="shared" si="562"/>
        <v>-11464.768236892331</v>
      </c>
      <c r="AV632">
        <f t="shared" si="511"/>
        <v>-2.1357149757501293</v>
      </c>
      <c r="AW632">
        <f t="shared" si="512"/>
        <v>30505.924405451497</v>
      </c>
      <c r="AX632">
        <f t="shared" si="513"/>
        <v>-19806.362419662717</v>
      </c>
      <c r="AY632">
        <f t="shared" si="521"/>
        <v>-0.57585681554800261</v>
      </c>
      <c r="BA632">
        <f t="shared" si="502"/>
        <v>0.37319309556311964</v>
      </c>
      <c r="BB632">
        <f t="shared" si="514"/>
        <v>-8.5613279944687246</v>
      </c>
      <c r="BC632">
        <f t="shared" si="515"/>
        <v>-1.5598581602021266</v>
      </c>
      <c r="BD632">
        <f t="shared" si="503"/>
        <v>-269.37328932074718</v>
      </c>
      <c r="BF632">
        <f t="shared" si="504"/>
        <v>-69.990278680633125</v>
      </c>
      <c r="BG632">
        <f t="shared" si="505"/>
        <v>-179.52827086395195</v>
      </c>
      <c r="BH632">
        <f t="shared" si="516"/>
        <v>0.47172913604805444</v>
      </c>
      <c r="BI632">
        <f t="shared" si="517"/>
        <v>0.47172913604805444</v>
      </c>
      <c r="BJ632">
        <f t="shared" si="506"/>
        <v>0</v>
      </c>
      <c r="BK632">
        <f t="shared" si="518"/>
        <v>0</v>
      </c>
      <c r="BM632">
        <f t="shared" si="519"/>
        <v>-61.428950686164399</v>
      </c>
      <c r="BN632">
        <f t="shared" si="507"/>
        <v>-90.154981543204769</v>
      </c>
      <c r="BQ632" s="66">
        <f t="shared" si="520"/>
        <v>8.3406328058164121</v>
      </c>
    </row>
    <row r="633" spans="1:69" x14ac:dyDescent="0.2">
      <c r="A633">
        <f t="shared" si="563"/>
        <v>5700000</v>
      </c>
      <c r="B633">
        <f t="shared" si="508"/>
        <v>5700</v>
      </c>
      <c r="C633">
        <f t="shared" si="539"/>
        <v>354.56155667416903</v>
      </c>
      <c r="D633">
        <f t="shared" si="540"/>
        <v>1.5679759383265399</v>
      </c>
      <c r="F633">
        <f t="shared" si="541"/>
        <v>1.5670493297678189E-7</v>
      </c>
      <c r="G633">
        <f t="shared" si="542"/>
        <v>1.6290328519095115E-4</v>
      </c>
      <c r="H633">
        <f t="shared" si="481"/>
        <v>-3.1414297467148091</v>
      </c>
      <c r="J633">
        <f t="shared" si="482"/>
        <v>15</v>
      </c>
      <c r="M633">
        <f t="shared" si="543"/>
        <v>5.9184195753505533E-4</v>
      </c>
      <c r="N633">
        <f t="shared" si="484"/>
        <v>-1.5707963250000001</v>
      </c>
      <c r="O633">
        <f t="shared" si="544"/>
        <v>1688.9959028974999</v>
      </c>
      <c r="P633">
        <f t="shared" si="486"/>
        <v>1.5702042590126666</v>
      </c>
      <c r="Q633">
        <f t="shared" si="545"/>
        <v>2340.0971804277497</v>
      </c>
      <c r="R633">
        <f t="shared" si="488"/>
        <v>1.5703689941017078</v>
      </c>
      <c r="S633">
        <f t="shared" si="546"/>
        <v>4.7006079787016448E-3</v>
      </c>
      <c r="T633">
        <f t="shared" si="490"/>
        <v>-1.5660957015054735</v>
      </c>
      <c r="U633">
        <f t="shared" si="547"/>
        <v>0.84058465701147411</v>
      </c>
      <c r="V633">
        <f t="shared" si="492"/>
        <v>-0.57243466678079602</v>
      </c>
      <c r="X633">
        <f t="shared" si="548"/>
        <v>-42.266613911649458</v>
      </c>
      <c r="Y633">
        <f t="shared" si="549"/>
        <v>-122.73943432508017</v>
      </c>
      <c r="Z633">
        <f t="shared" si="510"/>
        <v>57.260565674919832</v>
      </c>
      <c r="AC633">
        <v>1</v>
      </c>
      <c r="AD633">
        <f t="shared" si="550"/>
        <v>1688.9956068636002</v>
      </c>
      <c r="AE633">
        <f t="shared" si="551"/>
        <v>-6.0489952502216726E-2</v>
      </c>
      <c r="AF633">
        <f t="shared" si="552"/>
        <v>9.3868903426410008E-2</v>
      </c>
      <c r="AG633">
        <f t="shared" si="553"/>
        <v>12708.782968406395</v>
      </c>
      <c r="AH633">
        <f t="shared" si="554"/>
        <v>-8200.3054262090554</v>
      </c>
      <c r="AJ633">
        <f t="shared" si="497"/>
        <v>18000</v>
      </c>
      <c r="AK633">
        <f t="shared" si="555"/>
        <v>3829249.5819731997</v>
      </c>
      <c r="AL633">
        <v>8</v>
      </c>
      <c r="AM633">
        <f t="shared" si="556"/>
        <v>2340.0969667613999</v>
      </c>
      <c r="AN633">
        <f t="shared" si="557"/>
        <v>1636.3708080002968</v>
      </c>
      <c r="AO633">
        <f t="shared" si="558"/>
        <v>-2.0977906495864262</v>
      </c>
      <c r="AQ633">
        <f t="shared" si="559"/>
        <v>7.694675225494958E-5</v>
      </c>
      <c r="AR633">
        <f t="shared" si="560"/>
        <v>-0.87719297570642529</v>
      </c>
      <c r="AT633">
        <f t="shared" si="561"/>
        <v>-7192.2724189433357</v>
      </c>
      <c r="AU633">
        <f t="shared" si="562"/>
        <v>-11148.686136533586</v>
      </c>
      <c r="AV633">
        <f t="shared" si="511"/>
        <v>-2.1437353420599017</v>
      </c>
      <c r="AW633">
        <f t="shared" si="512"/>
        <v>30216.347039083532</v>
      </c>
      <c r="AX633">
        <f t="shared" si="513"/>
        <v>-19908.608620896732</v>
      </c>
      <c r="AY633">
        <f t="shared" si="521"/>
        <v>-0.5825846410198674</v>
      </c>
      <c r="BA633">
        <f t="shared" si="502"/>
        <v>0.36664903959468764</v>
      </c>
      <c r="BB633">
        <f t="shared" si="514"/>
        <v>-8.7149889652710719</v>
      </c>
      <c r="BC633">
        <f t="shared" si="515"/>
        <v>-1.5611507010400343</v>
      </c>
      <c r="BD633">
        <f t="shared" si="503"/>
        <v>-269.44734645569218</v>
      </c>
      <c r="BF633">
        <f t="shared" si="504"/>
        <v>-70.297677514880405</v>
      </c>
      <c r="BG633">
        <f t="shared" si="505"/>
        <v>-179.5996090381401</v>
      </c>
      <c r="BH633">
        <f t="shared" si="516"/>
        <v>0.4003909618598982</v>
      </c>
      <c r="BI633">
        <f t="shared" si="517"/>
        <v>0.4003909618598982</v>
      </c>
      <c r="BJ633">
        <f t="shared" si="506"/>
        <v>0</v>
      </c>
      <c r="BK633">
        <f t="shared" si="518"/>
        <v>0</v>
      </c>
      <c r="BM633">
        <f t="shared" si="519"/>
        <v>-61.582688549609344</v>
      </c>
      <c r="BN633">
        <f t="shared" si="507"/>
        <v>-90.152262582447932</v>
      </c>
      <c r="BQ633" s="66">
        <f t="shared" si="520"/>
        <v>8.1869718350140648</v>
      </c>
    </row>
    <row r="634" spans="1:69" x14ac:dyDescent="0.2">
      <c r="A634">
        <f t="shared" si="563"/>
        <v>5800000</v>
      </c>
      <c r="B634">
        <f t="shared" si="508"/>
        <v>5800</v>
      </c>
      <c r="C634">
        <f t="shared" si="539"/>
        <v>360.78188580755346</v>
      </c>
      <c r="D634">
        <f t="shared" si="540"/>
        <v>1.5680245654626825</v>
      </c>
      <c r="F634">
        <f t="shared" si="541"/>
        <v>1.5134789676633223E-7</v>
      </c>
      <c r="G634">
        <f t="shared" si="542"/>
        <v>1.6009460704358435E-4</v>
      </c>
      <c r="H634">
        <f t="shared" si="481"/>
        <v>-3.1414325553929565</v>
      </c>
      <c r="J634">
        <f t="shared" si="482"/>
        <v>15</v>
      </c>
      <c r="M634">
        <f t="shared" si="543"/>
        <v>5.8163778585341639E-4</v>
      </c>
      <c r="N634">
        <f t="shared" si="484"/>
        <v>-1.5707963250000001</v>
      </c>
      <c r="O634">
        <f t="shared" si="544"/>
        <v>1718.6273996682683</v>
      </c>
      <c r="P634">
        <f t="shared" si="486"/>
        <v>1.5702144670755533</v>
      </c>
      <c r="Q634">
        <f t="shared" si="545"/>
        <v>2381.1515094940473</v>
      </c>
      <c r="R634">
        <f t="shared" si="488"/>
        <v>1.570376361905889</v>
      </c>
      <c r="S634">
        <f t="shared" si="546"/>
        <v>4.6195647582528412E-3</v>
      </c>
      <c r="T634">
        <f t="shared" si="490"/>
        <v>-1.5661767456059426</v>
      </c>
      <c r="U634">
        <f t="shared" si="547"/>
        <v>0.83625335289048042</v>
      </c>
      <c r="V634">
        <f t="shared" si="492"/>
        <v>-0.58038180095674519</v>
      </c>
      <c r="X634">
        <f t="shared" si="548"/>
        <v>-42.462546424551817</v>
      </c>
      <c r="Y634">
        <f t="shared" si="549"/>
        <v>-123.19578283074777</v>
      </c>
      <c r="Z634">
        <f t="shared" si="510"/>
        <v>56.804217169252226</v>
      </c>
      <c r="AC634">
        <v>1</v>
      </c>
      <c r="AD634">
        <f t="shared" si="550"/>
        <v>1718.6271087384002</v>
      </c>
      <c r="AE634">
        <f t="shared" si="551"/>
        <v>-6.2631024997678378E-2</v>
      </c>
      <c r="AF634">
        <f t="shared" si="552"/>
        <v>9.5515726293540007E-2</v>
      </c>
      <c r="AG634">
        <f t="shared" si="553"/>
        <v>12578.150589924202</v>
      </c>
      <c r="AH634">
        <f t="shared" si="554"/>
        <v>-8258.1423460887545</v>
      </c>
      <c r="AJ634">
        <f t="shared" si="497"/>
        <v>18000</v>
      </c>
      <c r="AK634">
        <f t="shared" si="555"/>
        <v>3896429.3992007994</v>
      </c>
      <c r="AL634">
        <v>9</v>
      </c>
      <c r="AM634">
        <f t="shared" si="556"/>
        <v>2381.1512995116</v>
      </c>
      <c r="AN634">
        <f t="shared" si="557"/>
        <v>1636.3688312031782</v>
      </c>
      <c r="AO634">
        <f t="shared" si="558"/>
        <v>-1.3744109917931961</v>
      </c>
      <c r="AQ634">
        <f t="shared" si="559"/>
        <v>7.4316289578505582E-5</v>
      </c>
      <c r="AR634">
        <f t="shared" si="560"/>
        <v>-0.86206895911066472</v>
      </c>
      <c r="AT634">
        <f t="shared" si="561"/>
        <v>-7118.1534149988329</v>
      </c>
      <c r="AU634">
        <f t="shared" si="562"/>
        <v>-10843.846901091123</v>
      </c>
      <c r="AV634">
        <f t="shared" si="511"/>
        <v>-2.1516737805746469</v>
      </c>
      <c r="AW634">
        <f t="shared" si="512"/>
        <v>29927.524142733888</v>
      </c>
      <c r="AX634">
        <f t="shared" si="513"/>
        <v>-20006.096103651569</v>
      </c>
      <c r="AY634">
        <f t="shared" si="521"/>
        <v>-0.58926028092675087</v>
      </c>
      <c r="BA634">
        <f t="shared" si="502"/>
        <v>0.36033038659627153</v>
      </c>
      <c r="BB634">
        <f t="shared" si="514"/>
        <v>-8.8659822471611793</v>
      </c>
      <c r="BC634">
        <f t="shared" si="515"/>
        <v>-1.562413499647896</v>
      </c>
      <c r="BD634">
        <f t="shared" si="503"/>
        <v>-269.51969948638032</v>
      </c>
      <c r="BF634">
        <f t="shared" si="504"/>
        <v>-70.599734778545553</v>
      </c>
      <c r="BG634">
        <f t="shared" si="505"/>
        <v>-179.66933686455835</v>
      </c>
      <c r="BH634">
        <f t="shared" si="516"/>
        <v>0.33066313544165382</v>
      </c>
      <c r="BI634">
        <f t="shared" si="517"/>
        <v>0.33066313544165382</v>
      </c>
      <c r="BJ634">
        <f t="shared" si="506"/>
        <v>0</v>
      </c>
      <c r="BK634">
        <f t="shared" si="518"/>
        <v>0</v>
      </c>
      <c r="BM634">
        <f t="shared" si="519"/>
        <v>-61.733752531384376</v>
      </c>
      <c r="BN634">
        <f t="shared" si="507"/>
        <v>-90.149637378177999</v>
      </c>
      <c r="BQ634" s="66">
        <f t="shared" si="520"/>
        <v>8.0359785531239574</v>
      </c>
    </row>
    <row r="635" spans="1:69" x14ac:dyDescent="0.2">
      <c r="A635">
        <f t="shared" si="563"/>
        <v>5900000</v>
      </c>
      <c r="B635">
        <f t="shared" si="508"/>
        <v>5900</v>
      </c>
      <c r="C635">
        <f t="shared" si="539"/>
        <v>367.00221576512354</v>
      </c>
      <c r="D635">
        <f t="shared" si="540"/>
        <v>1.5680715442337807</v>
      </c>
      <c r="F635">
        <f t="shared" si="541"/>
        <v>1.4626093718165654E-7</v>
      </c>
      <c r="G635">
        <f t="shared" si="542"/>
        <v>1.5738113836540765E-4</v>
      </c>
      <c r="H635">
        <f t="shared" si="481"/>
        <v>-3.1414352688616347</v>
      </c>
      <c r="J635">
        <f t="shared" si="482"/>
        <v>15</v>
      </c>
      <c r="M635">
        <f t="shared" si="543"/>
        <v>5.7177951829657885E-4</v>
      </c>
      <c r="N635">
        <f t="shared" si="484"/>
        <v>-1.5707963250000001</v>
      </c>
      <c r="O635">
        <f t="shared" si="544"/>
        <v>1748.2588966120543</v>
      </c>
      <c r="P635">
        <f t="shared" si="486"/>
        <v>1.5702243291025251</v>
      </c>
      <c r="Q635">
        <f t="shared" si="545"/>
        <v>2422.2058386852236</v>
      </c>
      <c r="R635">
        <f t="shared" si="488"/>
        <v>1.5703834799540395</v>
      </c>
      <c r="S635">
        <f t="shared" si="546"/>
        <v>4.5412686791488702E-3</v>
      </c>
      <c r="T635">
        <f t="shared" si="490"/>
        <v>-1.5662550425064139</v>
      </c>
      <c r="U635">
        <f t="shared" si="547"/>
        <v>0.83191472197301564</v>
      </c>
      <c r="V635">
        <f t="shared" si="492"/>
        <v>-0.58824696532195375</v>
      </c>
      <c r="X635">
        <f t="shared" si="548"/>
        <v>-42.656206152353448</v>
      </c>
      <c r="Y635">
        <f t="shared" si="549"/>
        <v>-123.6474005348651</v>
      </c>
      <c r="Z635">
        <f t="shared" si="510"/>
        <v>56.352599465134901</v>
      </c>
      <c r="AC635">
        <v>1</v>
      </c>
      <c r="AD635">
        <f t="shared" si="550"/>
        <v>1748.2586106132003</v>
      </c>
      <c r="AE635">
        <f t="shared" si="551"/>
        <v>-6.4809333536539379E-2</v>
      </c>
      <c r="AF635">
        <f t="shared" si="552"/>
        <v>9.7162549160670006E-2</v>
      </c>
      <c r="AG635">
        <f t="shared" si="553"/>
        <v>12447.9737999513</v>
      </c>
      <c r="AH635">
        <f t="shared" si="554"/>
        <v>-8313.3356713340618</v>
      </c>
      <c r="AJ635">
        <f t="shared" si="497"/>
        <v>18000</v>
      </c>
      <c r="AK635">
        <f t="shared" si="555"/>
        <v>3963609.2164283996</v>
      </c>
      <c r="AL635">
        <v>10</v>
      </c>
      <c r="AM635">
        <f t="shared" si="556"/>
        <v>2422.2056322618</v>
      </c>
      <c r="AN635">
        <f t="shared" si="557"/>
        <v>1636.3664253757365</v>
      </c>
      <c r="AO635">
        <f t="shared" si="558"/>
        <v>-0.67555608179915705</v>
      </c>
      <c r="AQ635">
        <f t="shared" si="559"/>
        <v>7.1818442460367399E-5</v>
      </c>
      <c r="AR635">
        <f t="shared" si="560"/>
        <v>-0.84745762103233535</v>
      </c>
      <c r="AT635">
        <f t="shared" si="561"/>
        <v>-7044.3056767819162</v>
      </c>
      <c r="AU635">
        <f t="shared" si="562"/>
        <v>-10549.727313999134</v>
      </c>
      <c r="AV635">
        <f t="shared" si="511"/>
        <v>-2.1595305440467127</v>
      </c>
      <c r="AW635">
        <f t="shared" si="512"/>
        <v>29639.588916671124</v>
      </c>
      <c r="AX635">
        <f t="shared" si="513"/>
        <v>-20098.873548809468</v>
      </c>
      <c r="AY635">
        <f t="shared" si="521"/>
        <v>-0.59588247672715522</v>
      </c>
      <c r="BA635">
        <f t="shared" si="502"/>
        <v>0.35422568496985085</v>
      </c>
      <c r="BB635">
        <f t="shared" si="514"/>
        <v>-9.0143990246216195</v>
      </c>
      <c r="BC635">
        <f t="shared" si="515"/>
        <v>-1.5636480673195576</v>
      </c>
      <c r="BD635">
        <f t="shared" si="503"/>
        <v>-269.59043500357069</v>
      </c>
      <c r="BF635">
        <f t="shared" si="504"/>
        <v>-70.89663307984992</v>
      </c>
      <c r="BG635">
        <f t="shared" si="505"/>
        <v>-179.73753616673824</v>
      </c>
      <c r="BH635">
        <f t="shared" si="516"/>
        <v>0.26246383326176215</v>
      </c>
      <c r="BI635">
        <f t="shared" si="517"/>
        <v>0.26246383326176215</v>
      </c>
      <c r="BJ635">
        <f t="shared" si="506"/>
        <v>0</v>
      </c>
      <c r="BK635">
        <f t="shared" si="518"/>
        <v>0</v>
      </c>
      <c r="BM635">
        <f t="shared" si="519"/>
        <v>-61.882234055228302</v>
      </c>
      <c r="BN635">
        <f t="shared" si="507"/>
        <v>-90.147101163167576</v>
      </c>
      <c r="BQ635" s="66">
        <f t="shared" si="520"/>
        <v>7.8875617756635172</v>
      </c>
    </row>
    <row r="636" spans="1:69" x14ac:dyDescent="0.2">
      <c r="A636">
        <f t="shared" si="563"/>
        <v>6000000</v>
      </c>
      <c r="B636">
        <f t="shared" si="508"/>
        <v>6000</v>
      </c>
      <c r="C636">
        <f t="shared" si="539"/>
        <v>373.22254650567038</v>
      </c>
      <c r="D636">
        <f t="shared" si="540"/>
        <v>1.5681169570572768</v>
      </c>
      <c r="F636">
        <f t="shared" si="541"/>
        <v>1.4142620001538368E-7</v>
      </c>
      <c r="G636">
        <f t="shared" si="542"/>
        <v>1.5475811868033109E-4</v>
      </c>
      <c r="H636">
        <f t="shared" si="481"/>
        <v>-3.1414378918813197</v>
      </c>
      <c r="J636">
        <f t="shared" si="482"/>
        <v>15</v>
      </c>
      <c r="M636">
        <f t="shared" si="543"/>
        <v>5.6224985965830257E-4</v>
      </c>
      <c r="N636">
        <f t="shared" si="484"/>
        <v>-1.5707963250000001</v>
      </c>
      <c r="O636">
        <f t="shared" si="544"/>
        <v>1777.8903937202074</v>
      </c>
      <c r="P636">
        <f t="shared" si="486"/>
        <v>1.5702338623953702</v>
      </c>
      <c r="Q636">
        <f t="shared" si="545"/>
        <v>2463.2601679950335</v>
      </c>
      <c r="R636">
        <f t="shared" si="488"/>
        <v>1.570390360733958</v>
      </c>
      <c r="S636">
        <f t="shared" si="546"/>
        <v>4.4655823899432297E-3</v>
      </c>
      <c r="T636">
        <f t="shared" si="490"/>
        <v>-1.5663307295631401</v>
      </c>
      <c r="U636">
        <f t="shared" si="547"/>
        <v>0.82757047545667017</v>
      </c>
      <c r="V636">
        <f t="shared" si="492"/>
        <v>-0.59603046347401567</v>
      </c>
      <c r="X636">
        <f t="shared" si="548"/>
        <v>-42.847665573581864</v>
      </c>
      <c r="Y636">
        <f t="shared" si="549"/>
        <v>-124.0943065459924</v>
      </c>
      <c r="Z636">
        <f t="shared" si="510"/>
        <v>55.905693454007604</v>
      </c>
      <c r="AC636">
        <v>1</v>
      </c>
      <c r="AD636">
        <f t="shared" si="550"/>
        <v>1777.8901124880003</v>
      </c>
      <c r="AE636">
        <f t="shared" si="551"/>
        <v>-6.7024878118799702E-2</v>
      </c>
      <c r="AF636">
        <f t="shared" si="552"/>
        <v>9.8809372027800005E-2</v>
      </c>
      <c r="AG636">
        <f t="shared" si="553"/>
        <v>12318.306970971758</v>
      </c>
      <c r="AH636">
        <f t="shared" si="554"/>
        <v>-8365.9374247087599</v>
      </c>
      <c r="AJ636">
        <f t="shared" si="497"/>
        <v>18000</v>
      </c>
      <c r="AK636">
        <f t="shared" si="555"/>
        <v>4030789.0336559997</v>
      </c>
      <c r="AL636">
        <v>11</v>
      </c>
      <c r="AM636">
        <f t="shared" si="556"/>
        <v>2463.2599650120001</v>
      </c>
      <c r="AN636">
        <f t="shared" si="557"/>
        <v>1636.363636363636</v>
      </c>
      <c r="AO636">
        <f t="shared" si="558"/>
        <v>0</v>
      </c>
      <c r="AQ636">
        <f t="shared" si="559"/>
        <v>6.9444443962191359E-5</v>
      </c>
      <c r="AR636">
        <f t="shared" si="560"/>
        <v>-0.8333333275462963</v>
      </c>
      <c r="AT636">
        <f t="shared" si="561"/>
        <v>-6970.7590341984887</v>
      </c>
      <c r="AU636">
        <f t="shared" si="562"/>
        <v>-10265.836705729314</v>
      </c>
      <c r="AV636">
        <f t="shared" si="511"/>
        <v>-2.1673059213352985</v>
      </c>
      <c r="AW636">
        <f t="shared" si="512"/>
        <v>29352.667957412934</v>
      </c>
      <c r="AX636">
        <f t="shared" si="513"/>
        <v>-20186.995559761373</v>
      </c>
      <c r="AY636">
        <f t="shared" si="521"/>
        <v>-0.60245010669949706</v>
      </c>
      <c r="BA636">
        <f t="shared" si="502"/>
        <v>0.34832424591800337</v>
      </c>
      <c r="BB636">
        <f t="shared" si="514"/>
        <v>-9.1603258882736291</v>
      </c>
      <c r="BC636">
        <f t="shared" si="515"/>
        <v>-1.5648558146358016</v>
      </c>
      <c r="BD636">
        <f t="shared" si="503"/>
        <v>-269.65963382758878</v>
      </c>
      <c r="BF636">
        <f t="shared" si="504"/>
        <v>-71.188545822964642</v>
      </c>
      <c r="BG636">
        <f t="shared" si="505"/>
        <v>-179.80428331558898</v>
      </c>
      <c r="BH636">
        <f t="shared" si="516"/>
        <v>0.19571668441102474</v>
      </c>
      <c r="BI636">
        <f t="shared" si="517"/>
        <v>0.19571668441102474</v>
      </c>
      <c r="BJ636">
        <f t="shared" si="506"/>
        <v>0</v>
      </c>
      <c r="BK636">
        <f t="shared" si="518"/>
        <v>0</v>
      </c>
      <c r="BM636">
        <f t="shared" si="519"/>
        <v>-62.028219934691016</v>
      </c>
      <c r="BN636">
        <f t="shared" si="507"/>
        <v>-90.144649488000198</v>
      </c>
      <c r="BQ636" s="66">
        <f t="shared" si="520"/>
        <v>7.7416349120115093</v>
      </c>
    </row>
    <row r="637" spans="1:69" x14ac:dyDescent="0.2">
      <c r="A637">
        <f t="shared" si="563"/>
        <v>6100000</v>
      </c>
      <c r="B637">
        <f t="shared" si="508"/>
        <v>6100</v>
      </c>
      <c r="C637">
        <f t="shared" si="539"/>
        <v>379.44287799068707</v>
      </c>
      <c r="D637">
        <f t="shared" si="540"/>
        <v>1.5681608809462562</v>
      </c>
      <c r="F637">
        <f t="shared" si="541"/>
        <v>1.3682728242201858E-7</v>
      </c>
      <c r="G637">
        <f t="shared" si="542"/>
        <v>1.5222109967484145E-4</v>
      </c>
      <c r="H637">
        <f t="shared" si="481"/>
        <v>-3.1414404289003253</v>
      </c>
      <c r="J637">
        <f t="shared" si="482"/>
        <v>15</v>
      </c>
      <c r="M637">
        <f t="shared" si="543"/>
        <v>5.5303264884423199E-4</v>
      </c>
      <c r="N637">
        <f t="shared" si="484"/>
        <v>-1.5707963250000001</v>
      </c>
      <c r="O637">
        <f t="shared" si="544"/>
        <v>1807.521890984644</v>
      </c>
      <c r="P637">
        <f t="shared" si="486"/>
        <v>1.5702430831213341</v>
      </c>
      <c r="Q637">
        <f t="shared" si="545"/>
        <v>2504.314497417643</v>
      </c>
      <c r="R637">
        <f t="shared" si="488"/>
        <v>1.5703970159145715</v>
      </c>
      <c r="S637">
        <f t="shared" si="546"/>
        <v>4.3923775453922446E-3</v>
      </c>
      <c r="T637">
        <f t="shared" si="490"/>
        <v>-1.566403935125706</v>
      </c>
      <c r="U637">
        <f t="shared" si="547"/>
        <v>0.8232222675531371</v>
      </c>
      <c r="V637">
        <f t="shared" si="492"/>
        <v>-0.60373263231897678</v>
      </c>
      <c r="X637">
        <f t="shared" si="548"/>
        <v>-43.036993149603866</v>
      </c>
      <c r="Y637">
        <f t="shared" si="549"/>
        <v>-124.53652176876345</v>
      </c>
      <c r="Z637">
        <f t="shared" si="510"/>
        <v>55.46347823123655</v>
      </c>
      <c r="AC637">
        <v>1</v>
      </c>
      <c r="AD637">
        <f t="shared" si="550"/>
        <v>1807.5216143627999</v>
      </c>
      <c r="AE637">
        <f t="shared" si="551"/>
        <v>-6.9277658744459361E-2</v>
      </c>
      <c r="AF637">
        <f t="shared" si="552"/>
        <v>0.10045619489492999</v>
      </c>
      <c r="AG637">
        <f t="shared" si="553"/>
        <v>12189.201722464013</v>
      </c>
      <c r="AH637">
        <f t="shared" si="554"/>
        <v>-8416.000209648666</v>
      </c>
      <c r="AJ637">
        <f t="shared" si="497"/>
        <v>18000</v>
      </c>
      <c r="AK637">
        <f t="shared" si="555"/>
        <v>4097968.8508835994</v>
      </c>
      <c r="AL637">
        <v>12</v>
      </c>
      <c r="AM637">
        <f t="shared" si="556"/>
        <v>2504.3142977622001</v>
      </c>
      <c r="AN637">
        <f t="shared" si="557"/>
        <v>1636.3605054331283</v>
      </c>
      <c r="AO637">
        <f t="shared" si="558"/>
        <v>0.65340283632119345</v>
      </c>
      <c r="AQ637">
        <f t="shared" si="559"/>
        <v>6.7186239806596079E-5</v>
      </c>
      <c r="AR637">
        <f t="shared" si="560"/>
        <v>-0.81967212564047209</v>
      </c>
      <c r="AT637">
        <f t="shared" si="561"/>
        <v>-6897.5418346034048</v>
      </c>
      <c r="AU637">
        <f t="shared" si="562"/>
        <v>-9991.7143251208781</v>
      </c>
      <c r="AV637">
        <f t="shared" si="511"/>
        <v>-2.1750002355745046</v>
      </c>
      <c r="AW637">
        <f t="shared" si="512"/>
        <v>29066.881399610396</v>
      </c>
      <c r="AX637">
        <f t="shared" si="513"/>
        <v>-20270.522028651863</v>
      </c>
      <c r="AY637">
        <f t="shared" si="521"/>
        <v>-0.6089621758599616</v>
      </c>
      <c r="BA637">
        <f t="shared" si="502"/>
        <v>0.34261608097176943</v>
      </c>
      <c r="BB637">
        <f t="shared" si="514"/>
        <v>-9.3038451383615097</v>
      </c>
      <c r="BC637">
        <f t="shared" si="515"/>
        <v>-1.5660380597145429</v>
      </c>
      <c r="BD637">
        <f t="shared" si="503"/>
        <v>-269.72737148102817</v>
      </c>
      <c r="BF637">
        <f t="shared" si="504"/>
        <v>-71.475637816348311</v>
      </c>
      <c r="BG637">
        <f t="shared" si="505"/>
        <v>-179.86964967604891</v>
      </c>
      <c r="BH637">
        <f t="shared" si="516"/>
        <v>0.1303503239510917</v>
      </c>
      <c r="BI637">
        <f t="shared" si="517"/>
        <v>0.1303503239510917</v>
      </c>
      <c r="BJ637">
        <f t="shared" si="506"/>
        <v>0</v>
      </c>
      <c r="BK637">
        <f t="shared" si="518"/>
        <v>0</v>
      </c>
      <c r="BM637">
        <f t="shared" si="519"/>
        <v>-62.171792677986801</v>
      </c>
      <c r="BN637">
        <f t="shared" si="507"/>
        <v>-90.142278195020737</v>
      </c>
      <c r="BQ637" s="66">
        <f t="shared" si="520"/>
        <v>7.598115661923627</v>
      </c>
    </row>
    <row r="638" spans="1:69" x14ac:dyDescent="0.2">
      <c r="A638">
        <f t="shared" si="563"/>
        <v>6200000</v>
      </c>
      <c r="B638">
        <f t="shared" si="508"/>
        <v>6200</v>
      </c>
      <c r="C638">
        <f t="shared" si="539"/>
        <v>385.6632101841513</v>
      </c>
      <c r="D638">
        <f t="shared" si="540"/>
        <v>1.5682033879452753</v>
      </c>
      <c r="F638">
        <f t="shared" si="541"/>
        <v>1.3244909360902663E-7</v>
      </c>
      <c r="G638">
        <f t="shared" si="542"/>
        <v>1.4976592002358127E-4</v>
      </c>
      <c r="H638">
        <f t="shared" si="481"/>
        <v>-3.1414428840799768</v>
      </c>
      <c r="J638">
        <f t="shared" si="482"/>
        <v>15</v>
      </c>
      <c r="M638">
        <f t="shared" si="543"/>
        <v>5.4411276741126054E-4</v>
      </c>
      <c r="N638">
        <f t="shared" si="484"/>
        <v>-1.5707963250000001</v>
      </c>
      <c r="O638">
        <f t="shared" si="544"/>
        <v>1837.153388397802</v>
      </c>
      <c r="P638">
        <f t="shared" si="486"/>
        <v>1.5702520064046146</v>
      </c>
      <c r="Q638">
        <f t="shared" si="545"/>
        <v>2545.3688269475942</v>
      </c>
      <c r="R638">
        <f t="shared" si="488"/>
        <v>1.5704034564119731</v>
      </c>
      <c r="S638">
        <f t="shared" si="546"/>
        <v>4.3215340801908263E-3</v>
      </c>
      <c r="T638">
        <f t="shared" si="490"/>
        <v>-1.5664747792633449</v>
      </c>
      <c r="U638">
        <f t="shared" si="547"/>
        <v>0.81887169583605901</v>
      </c>
      <c r="V638">
        <f t="shared" si="492"/>
        <v>-0.61135384035701779</v>
      </c>
      <c r="X638">
        <f t="shared" si="548"/>
        <v>-43.224253607336678</v>
      </c>
      <c r="Y638">
        <f t="shared" si="549"/>
        <v>-124.97406881472229</v>
      </c>
      <c r="Z638">
        <f t="shared" si="510"/>
        <v>55.025931185277713</v>
      </c>
      <c r="AC638">
        <v>1</v>
      </c>
      <c r="AD638">
        <f t="shared" si="550"/>
        <v>1837.1531162376</v>
      </c>
      <c r="AE638">
        <f t="shared" si="551"/>
        <v>-7.1567675413518328E-2</v>
      </c>
      <c r="AF638">
        <f t="shared" si="552"/>
        <v>0.10210301776206</v>
      </c>
      <c r="AG638">
        <f t="shared" si="553"/>
        <v>12060.706972807875</v>
      </c>
      <c r="AH638">
        <f t="shared" si="554"/>
        <v>-8463.5770893794215</v>
      </c>
      <c r="AJ638">
        <f t="shared" si="497"/>
        <v>18000</v>
      </c>
      <c r="AK638">
        <f t="shared" si="555"/>
        <v>4165148.6681111995</v>
      </c>
      <c r="AL638">
        <v>13</v>
      </c>
      <c r="AM638">
        <f t="shared" si="556"/>
        <v>2545.3686305123997</v>
      </c>
      <c r="AN638">
        <f t="shared" si="557"/>
        <v>1636.3570697651135</v>
      </c>
      <c r="AO638">
        <f t="shared" si="558"/>
        <v>1.2857241453029431</v>
      </c>
      <c r="AQ638">
        <f t="shared" si="559"/>
        <v>6.5036419972447842E-5</v>
      </c>
      <c r="AR638">
        <f t="shared" si="560"/>
        <v>-0.80645160765835322</v>
      </c>
      <c r="AT638">
        <f t="shared" si="561"/>
        <v>-6824.6809650665919</v>
      </c>
      <c r="AU638">
        <f t="shared" si="562"/>
        <v>-9726.9269684712744</v>
      </c>
      <c r="AV638">
        <f t="shared" si="511"/>
        <v>-2.1826138423810808</v>
      </c>
      <c r="AW638">
        <f t="shared" si="512"/>
        <v>28782.343062885993</v>
      </c>
      <c r="AX638">
        <f t="shared" si="513"/>
        <v>-20349.517550326287</v>
      </c>
      <c r="AY638">
        <f t="shared" si="521"/>
        <v>-0.61541780671789581</v>
      </c>
      <c r="BA638">
        <f t="shared" si="502"/>
        <v>0.33709184555911859</v>
      </c>
      <c r="BB638">
        <f t="shared" si="514"/>
        <v>-9.4450350635830542</v>
      </c>
      <c r="BC638">
        <f t="shared" si="515"/>
        <v>-1.5671960356631849</v>
      </c>
      <c r="BD638">
        <f t="shared" si="503"/>
        <v>-269.79371861573884</v>
      </c>
      <c r="BF638">
        <f t="shared" si="504"/>
        <v>-71.758065831641375</v>
      </c>
      <c r="BG638">
        <f t="shared" si="505"/>
        <v>-179.93370201054537</v>
      </c>
      <c r="BH638">
        <f t="shared" si="516"/>
        <v>6.6297989454625395E-2</v>
      </c>
      <c r="BI638">
        <f t="shared" si="517"/>
        <v>6.6297989454625395E-2</v>
      </c>
      <c r="BJ638">
        <f t="shared" si="506"/>
        <v>0</v>
      </c>
      <c r="BK638">
        <f t="shared" si="518"/>
        <v>0</v>
      </c>
      <c r="BM638">
        <f t="shared" si="519"/>
        <v>-62.313030768058326</v>
      </c>
      <c r="BN638">
        <f t="shared" si="507"/>
        <v>-90.139983394806535</v>
      </c>
      <c r="BQ638" s="66">
        <f t="shared" si="520"/>
        <v>7.4569257367020807</v>
      </c>
    </row>
    <row r="639" spans="1:69" x14ac:dyDescent="0.2">
      <c r="A639">
        <f t="shared" si="563"/>
        <v>6300000</v>
      </c>
      <c r="B639">
        <f t="shared" si="508"/>
        <v>6300</v>
      </c>
      <c r="C639">
        <f t="shared" si="539"/>
        <v>391.88354305232752</v>
      </c>
      <c r="D639">
        <f t="shared" si="540"/>
        <v>1.5682445455246841</v>
      </c>
      <c r="F639">
        <f t="shared" si="541"/>
        <v>1.2827773088212246E-7</v>
      </c>
      <c r="G639">
        <f t="shared" si="542"/>
        <v>1.4738868261249358E-4</v>
      </c>
      <c r="H639">
        <f t="shared" si="481"/>
        <v>-3.1414452613173878</v>
      </c>
      <c r="J639">
        <f t="shared" si="482"/>
        <v>15</v>
      </c>
      <c r="M639">
        <f t="shared" si="543"/>
        <v>5.3547605681743098E-4</v>
      </c>
      <c r="N639">
        <f t="shared" si="484"/>
        <v>-1.5707963250000001</v>
      </c>
      <c r="O639">
        <f t="shared" si="544"/>
        <v>1866.7848859525996</v>
      </c>
      <c r="P639">
        <f t="shared" si="486"/>
        <v>1.5702606464091433</v>
      </c>
      <c r="Q639">
        <f t="shared" si="545"/>
        <v>2586.4231565797754</v>
      </c>
      <c r="R639">
        <f t="shared" si="488"/>
        <v>1.5704096924491708</v>
      </c>
      <c r="S639">
        <f t="shared" si="546"/>
        <v>4.2529395518716463E-3</v>
      </c>
      <c r="T639">
        <f t="shared" si="490"/>
        <v>-1.5665433744220836</v>
      </c>
      <c r="U639">
        <f t="shared" si="547"/>
        <v>0.81452030168974066</v>
      </c>
      <c r="V639">
        <f t="shared" si="492"/>
        <v>-0.61889448600195107</v>
      </c>
      <c r="X639">
        <f t="shared" si="548"/>
        <v>-43.409508198925202</v>
      </c>
      <c r="Y639">
        <f t="shared" si="549"/>
        <v>-125.40697191423477</v>
      </c>
      <c r="Z639">
        <f t="shared" si="510"/>
        <v>54.593028085765226</v>
      </c>
      <c r="AC639">
        <v>1</v>
      </c>
      <c r="AD639">
        <f t="shared" si="550"/>
        <v>1866.7846181124</v>
      </c>
      <c r="AE639">
        <f t="shared" si="551"/>
        <v>-7.3894928125976658E-2</v>
      </c>
      <c r="AF639">
        <f t="shared" si="552"/>
        <v>0.10374984062919002</v>
      </c>
      <c r="AG639">
        <f t="shared" si="553"/>
        <v>11932.868994893699</v>
      </c>
      <c r="AH639">
        <f t="shared" si="554"/>
        <v>-8508.721472348896</v>
      </c>
      <c r="AJ639">
        <f t="shared" si="497"/>
        <v>18000</v>
      </c>
      <c r="AK639">
        <f t="shared" si="555"/>
        <v>4232328.4853387997</v>
      </c>
      <c r="AL639">
        <v>14</v>
      </c>
      <c r="AM639">
        <f t="shared" si="556"/>
        <v>2586.4229632625998</v>
      </c>
      <c r="AN639">
        <f t="shared" si="557"/>
        <v>1636.3533628904654</v>
      </c>
      <c r="AO639">
        <f t="shared" si="558"/>
        <v>1.8979676372321608</v>
      </c>
      <c r="AQ639">
        <f t="shared" si="559"/>
        <v>6.2988157829502655E-5</v>
      </c>
      <c r="AR639">
        <f t="shared" si="560"/>
        <v>-0.79365078865173355</v>
      </c>
      <c r="AT639">
        <f t="shared" si="561"/>
        <v>-6752.2018775120314</v>
      </c>
      <c r="AU639">
        <f t="shared" si="562"/>
        <v>-9471.0668373662302</v>
      </c>
      <c r="AV639">
        <f t="shared" si="511"/>
        <v>-2.1901471281034022</v>
      </c>
      <c r="AW639">
        <f t="shared" si="512"/>
        <v>28499.160603142576</v>
      </c>
      <c r="AX639">
        <f t="shared" si="513"/>
        <v>-20424.050880192328</v>
      </c>
      <c r="AY639">
        <f t="shared" si="521"/>
        <v>-0.621816230781706</v>
      </c>
      <c r="BA639">
        <f t="shared" si="502"/>
        <v>0.33174278794340778</v>
      </c>
      <c r="BB639">
        <f t="shared" si="514"/>
        <v>-9.5839701976308884</v>
      </c>
      <c r="BC639">
        <f t="shared" si="515"/>
        <v>-1.5683308973216961</v>
      </c>
      <c r="BD639">
        <f t="shared" si="503"/>
        <v>-269.85874139917701</v>
      </c>
      <c r="BF639">
        <f t="shared" si="504"/>
        <v>-72.035979117862453</v>
      </c>
      <c r="BG639">
        <f t="shared" si="505"/>
        <v>-179.99650284405647</v>
      </c>
      <c r="BH639">
        <f t="shared" si="516"/>
        <v>3.4971559435348354E-3</v>
      </c>
      <c r="BI639">
        <f t="shared" si="517"/>
        <v>3.4971559435348354E-3</v>
      </c>
      <c r="BJ639">
        <f t="shared" si="506"/>
        <v>0</v>
      </c>
      <c r="BK639">
        <f t="shared" si="518"/>
        <v>0</v>
      </c>
      <c r="BM639">
        <f t="shared" si="519"/>
        <v>-62.452008920231563</v>
      </c>
      <c r="BN639">
        <f t="shared" si="507"/>
        <v>-90.137761444879459</v>
      </c>
      <c r="BQ639" s="66">
        <f t="shared" si="520"/>
        <v>7.3179906026542483</v>
      </c>
    </row>
    <row r="640" spans="1:69" x14ac:dyDescent="0.2">
      <c r="A640">
        <f t="shared" si="563"/>
        <v>6400000</v>
      </c>
      <c r="B640">
        <f t="shared" si="508"/>
        <v>6400</v>
      </c>
      <c r="C640">
        <f t="shared" si="539"/>
        <v>398.10387656358893</v>
      </c>
      <c r="D640">
        <f t="shared" si="540"/>
        <v>1.5682844169379822</v>
      </c>
      <c r="F640">
        <f t="shared" si="541"/>
        <v>1.2430036914073144E-7</v>
      </c>
      <c r="G640">
        <f t="shared" si="542"/>
        <v>1.4508573389729885E-4</v>
      </c>
      <c r="H640">
        <f t="shared" si="481"/>
        <v>-3.1414475642661031</v>
      </c>
      <c r="J640">
        <f t="shared" si="482"/>
        <v>15</v>
      </c>
      <c r="M640">
        <f t="shared" si="543"/>
        <v>5.2710924342965859E-4</v>
      </c>
      <c r="N640">
        <f t="shared" si="484"/>
        <v>-1.5707963250000001</v>
      </c>
      <c r="O640">
        <f t="shared" si="544"/>
        <v>1896.416383642397</v>
      </c>
      <c r="P640">
        <f t="shared" si="486"/>
        <v>1.5702690164136068</v>
      </c>
      <c r="Q640">
        <f t="shared" si="545"/>
        <v>2627.4774863093949</v>
      </c>
      <c r="R640">
        <f t="shared" si="488"/>
        <v>1.5704157336102347</v>
      </c>
      <c r="S640">
        <f t="shared" si="546"/>
        <v>4.1864885453035553E-3</v>
      </c>
      <c r="T640">
        <f t="shared" si="490"/>
        <v>-1.5666098260202848</v>
      </c>
      <c r="U640">
        <f t="shared" si="547"/>
        <v>0.81016957085069929</v>
      </c>
      <c r="V640">
        <f t="shared" si="492"/>
        <v>-0.62635499593671384</v>
      </c>
      <c r="X640">
        <f t="shared" si="548"/>
        <v>-43.592814940535305</v>
      </c>
      <c r="Y640">
        <f t="shared" si="549"/>
        <v>-125.83525682969433</v>
      </c>
      <c r="Z640">
        <f t="shared" si="510"/>
        <v>54.16474317030567</v>
      </c>
      <c r="AC640">
        <v>1</v>
      </c>
      <c r="AD640">
        <f t="shared" si="550"/>
        <v>1896.4161199872001</v>
      </c>
      <c r="AE640">
        <f t="shared" si="551"/>
        <v>-7.6259416881834324E-2</v>
      </c>
      <c r="AF640">
        <f t="shared" si="552"/>
        <v>0.10539666349632</v>
      </c>
      <c r="AG640">
        <f t="shared" si="553"/>
        <v>11805.731474974789</v>
      </c>
      <c r="AH640">
        <f t="shared" si="554"/>
        <v>-8551.4870039179659</v>
      </c>
      <c r="AJ640">
        <f t="shared" si="497"/>
        <v>18000</v>
      </c>
      <c r="AK640">
        <f t="shared" si="555"/>
        <v>4299508.3025663998</v>
      </c>
      <c r="AL640">
        <v>15</v>
      </c>
      <c r="AM640">
        <f t="shared" si="556"/>
        <v>2627.4772960128003</v>
      </c>
      <c r="AN640">
        <f t="shared" si="557"/>
        <v>1636.3494150743029</v>
      </c>
      <c r="AO640">
        <f t="shared" si="558"/>
        <v>2.4910743229054555</v>
      </c>
      <c r="AQ640">
        <f t="shared" si="559"/>
        <v>6.1035155877470973E-5</v>
      </c>
      <c r="AR640">
        <f t="shared" si="560"/>
        <v>-0.78124999523162841</v>
      </c>
      <c r="AT640">
        <f t="shared" si="561"/>
        <v>-6680.1286163734203</v>
      </c>
      <c r="AU640">
        <f t="shared" si="562"/>
        <v>-9223.7495998722097</v>
      </c>
      <c r="AV640">
        <f t="shared" si="511"/>
        <v>-2.1976005081130592</v>
      </c>
      <c r="AW640">
        <f t="shared" si="512"/>
        <v>28217.435667823564</v>
      </c>
      <c r="AX640">
        <f t="shared" si="513"/>
        <v>-20494.194432616208</v>
      </c>
      <c r="AY640">
        <f t="shared" si="521"/>
        <v>-0.62815678073911563</v>
      </c>
      <c r="BA640">
        <f t="shared" si="502"/>
        <v>0.32656070294497541</v>
      </c>
      <c r="BB640">
        <f t="shared" si="514"/>
        <v>-9.7207215555491118</v>
      </c>
      <c r="BC640">
        <f t="shared" si="515"/>
        <v>-1.5694437273739434</v>
      </c>
      <c r="BD640">
        <f t="shared" si="503"/>
        <v>-269.92250186455897</v>
      </c>
      <c r="BF640">
        <f t="shared" si="504"/>
        <v>-72.309519875128615</v>
      </c>
      <c r="BG640">
        <f t="shared" si="505"/>
        <v>-180.05811079497258</v>
      </c>
      <c r="BH640">
        <f t="shared" si="516"/>
        <v>-5.8110794972577651E-2</v>
      </c>
      <c r="BI640">
        <f t="shared" si="517"/>
        <v>-5.8110794972577651E-2</v>
      </c>
      <c r="BJ640">
        <f t="shared" si="506"/>
        <v>0</v>
      </c>
      <c r="BK640">
        <f t="shared" si="518"/>
        <v>0</v>
      </c>
      <c r="BM640">
        <f t="shared" si="519"/>
        <v>-62.588798319579489</v>
      </c>
      <c r="BN640">
        <f t="shared" si="507"/>
        <v>-90.135608930413611</v>
      </c>
      <c r="BQ640" s="66">
        <f t="shared" si="520"/>
        <v>7.1812392447360249</v>
      </c>
    </row>
    <row r="641" spans="1:69" x14ac:dyDescent="0.2">
      <c r="A641">
        <f t="shared" si="563"/>
        <v>6500000</v>
      </c>
      <c r="B641">
        <f t="shared" si="508"/>
        <v>6500</v>
      </c>
      <c r="C641">
        <f t="shared" si="539"/>
        <v>404.32421068825482</v>
      </c>
      <c r="D641">
        <f t="shared" si="540"/>
        <v>1.5683230615461861</v>
      </c>
      <c r="F641">
        <f t="shared" si="541"/>
        <v>1.2050516218116029E-7</v>
      </c>
      <c r="G641">
        <f t="shared" si="542"/>
        <v>1.4285364516734473E-4</v>
      </c>
      <c r="H641">
        <f t="shared" si="481"/>
        <v>-3.1414497963548329</v>
      </c>
      <c r="J641">
        <f t="shared" si="482"/>
        <v>15</v>
      </c>
      <c r="M641">
        <f t="shared" si="543"/>
        <v>5.1899987045381777E-4</v>
      </c>
      <c r="N641">
        <f t="shared" si="484"/>
        <v>-1.5707963250000001</v>
      </c>
      <c r="O641">
        <f t="shared" si="544"/>
        <v>1926.0478814609635</v>
      </c>
      <c r="P641">
        <f t="shared" si="486"/>
        <v>1.5702771288795421</v>
      </c>
      <c r="Q641">
        <f t="shared" si="545"/>
        <v>2668.5318161319551</v>
      </c>
      <c r="R641">
        <f t="shared" si="488"/>
        <v>1.5704215888894464</v>
      </c>
      <c r="S641">
        <f t="shared" si="546"/>
        <v>4.1220821321559364E-3</v>
      </c>
      <c r="T641">
        <f t="shared" si="490"/>
        <v>-1.5666742329892163</v>
      </c>
      <c r="U641">
        <f t="shared" si="547"/>
        <v>0.80582093403425203</v>
      </c>
      <c r="V641">
        <f t="shared" si="492"/>
        <v>-0.63373582350675839</v>
      </c>
      <c r="X641">
        <f t="shared" si="548"/>
        <v>-43.774228832183468</v>
      </c>
      <c r="Y641">
        <f t="shared" si="549"/>
        <v>-126.25895077021329</v>
      </c>
      <c r="Z641">
        <f t="shared" si="510"/>
        <v>53.741049229786711</v>
      </c>
      <c r="AC641">
        <v>1</v>
      </c>
      <c r="AD641">
        <f t="shared" si="550"/>
        <v>1926.0476218620004</v>
      </c>
      <c r="AE641">
        <f t="shared" si="551"/>
        <v>-7.8661141681091312E-2</v>
      </c>
      <c r="AF641">
        <f t="shared" si="552"/>
        <v>0.10704348636345</v>
      </c>
      <c r="AG641">
        <f t="shared" si="553"/>
        <v>11679.335574326089</v>
      </c>
      <c r="AH641">
        <f t="shared" si="554"/>
        <v>-8591.9274642301752</v>
      </c>
      <c r="AJ641">
        <f t="shared" si="497"/>
        <v>18000</v>
      </c>
      <c r="AK641">
        <f t="shared" si="555"/>
        <v>4366688.1197939999</v>
      </c>
      <c r="AL641">
        <v>16</v>
      </c>
      <c r="AM641">
        <f t="shared" si="556"/>
        <v>2668.5316287629998</v>
      </c>
      <c r="AN641">
        <f t="shared" si="557"/>
        <v>1636.3452536557859</v>
      </c>
      <c r="AO641">
        <f t="shared" si="558"/>
        <v>3.065927332585197</v>
      </c>
      <c r="AQ641">
        <f t="shared" si="559"/>
        <v>5.9171597283008303E-5</v>
      </c>
      <c r="AR641">
        <f t="shared" si="560"/>
        <v>-0.76923076467910789</v>
      </c>
      <c r="AT641">
        <f t="shared" si="561"/>
        <v>-6608.4838484360689</v>
      </c>
      <c r="AU641">
        <f t="shared" si="562"/>
        <v>-8984.6126328545652</v>
      </c>
      <c r="AV641">
        <f t="shared" si="511"/>
        <v>-2.2049744251402381</v>
      </c>
      <c r="AW641">
        <f t="shared" si="512"/>
        <v>27937.264054582691</v>
      </c>
      <c r="AX641">
        <f t="shared" si="513"/>
        <v>-20560.02381682245</v>
      </c>
      <c r="AY641">
        <f t="shared" si="521"/>
        <v>-0.63443888324498332</v>
      </c>
      <c r="BA641">
        <f t="shared" si="502"/>
        <v>0.32153788993117932</v>
      </c>
      <c r="BB641">
        <f t="shared" si="514"/>
        <v>-9.8553568517815755</v>
      </c>
      <c r="BC641">
        <f t="shared" si="515"/>
        <v>-1.5705355418952549</v>
      </c>
      <c r="BD641">
        <f t="shared" si="503"/>
        <v>-269.98505822871272</v>
      </c>
      <c r="BF641">
        <f t="shared" si="504"/>
        <v>-72.57882369166397</v>
      </c>
      <c r="BG641">
        <f t="shared" si="505"/>
        <v>-180.11858087543661</v>
      </c>
      <c r="BH641">
        <f t="shared" si="516"/>
        <v>-0.11858087543660645</v>
      </c>
      <c r="BI641">
        <f t="shared" si="517"/>
        <v>-0.11858087543660645</v>
      </c>
      <c r="BJ641">
        <f t="shared" si="506"/>
        <v>0</v>
      </c>
      <c r="BK641">
        <f t="shared" si="518"/>
        <v>0</v>
      </c>
      <c r="BM641">
        <f t="shared" si="519"/>
        <v>-62.723466839882391</v>
      </c>
      <c r="BN641">
        <f t="shared" si="507"/>
        <v>-90.133522646723932</v>
      </c>
      <c r="BQ641" s="66">
        <f t="shared" si="520"/>
        <v>7.0466039485035612</v>
      </c>
    </row>
    <row r="642" spans="1:69" x14ac:dyDescent="0.2">
      <c r="A642">
        <f t="shared" si="563"/>
        <v>6600000</v>
      </c>
      <c r="B642">
        <f t="shared" si="508"/>
        <v>6600</v>
      </c>
      <c r="C642">
        <f t="shared" si="539"/>
        <v>410.54454539844335</v>
      </c>
      <c r="D642">
        <f t="shared" si="540"/>
        <v>1.5683605351127126</v>
      </c>
      <c r="F642">
        <f t="shared" si="541"/>
        <v>1.168811543872567E-7</v>
      </c>
      <c r="G642">
        <f t="shared" si="542"/>
        <v>1.406891955127439E-4</v>
      </c>
      <c r="H642">
        <f t="shared" si="481"/>
        <v>-3.1414519608044875</v>
      </c>
      <c r="J642">
        <f t="shared" si="482"/>
        <v>15</v>
      </c>
      <c r="M642">
        <f t="shared" si="543"/>
        <v>5.1113623605300227E-4</v>
      </c>
      <c r="N642">
        <f t="shared" si="484"/>
        <v>-1.5707963250000001</v>
      </c>
      <c r="O642">
        <f t="shared" si="544"/>
        <v>1955.6793794024466</v>
      </c>
      <c r="P642">
        <f t="shared" si="486"/>
        <v>1.5702849955132414</v>
      </c>
      <c r="Q642">
        <f t="shared" si="545"/>
        <v>2709.586146043232</v>
      </c>
      <c r="R642">
        <f t="shared" si="488"/>
        <v>1.5704272667359791</v>
      </c>
      <c r="S642">
        <f t="shared" si="546"/>
        <v>4.0596273794996978E-3</v>
      </c>
      <c r="T642">
        <f t="shared" si="490"/>
        <v>-1.5667366882644824</v>
      </c>
      <c r="U642">
        <f t="shared" si="547"/>
        <v>0.80147576763859463</v>
      </c>
      <c r="V642">
        <f t="shared" si="492"/>
        <v>-0.64103744715297029</v>
      </c>
      <c r="X642">
        <f t="shared" si="548"/>
        <v>-43.953802060320903</v>
      </c>
      <c r="Y642">
        <f t="shared" si="549"/>
        <v>-126.67808230796606</v>
      </c>
      <c r="Z642">
        <f t="shared" si="510"/>
        <v>53.321917692033935</v>
      </c>
      <c r="AC642">
        <v>1</v>
      </c>
      <c r="AD642">
        <f t="shared" si="550"/>
        <v>1955.6791237368004</v>
      </c>
      <c r="AE642">
        <f t="shared" si="551"/>
        <v>-8.1100102523747636E-2</v>
      </c>
      <c r="AF642">
        <f t="shared" si="552"/>
        <v>0.10869030923058001</v>
      </c>
      <c r="AG642">
        <f t="shared" si="553"/>
        <v>11553.719993294893</v>
      </c>
      <c r="AH642">
        <f t="shared" si="554"/>
        <v>-8630.0966721601744</v>
      </c>
      <c r="AJ642">
        <f t="shared" si="497"/>
        <v>18000</v>
      </c>
      <c r="AK642">
        <f t="shared" si="555"/>
        <v>4433867.9370215992</v>
      </c>
      <c r="AL642">
        <v>17</v>
      </c>
      <c r="AM642">
        <f t="shared" si="556"/>
        <v>2709.5859615131999</v>
      </c>
      <c r="AN642">
        <f t="shared" si="557"/>
        <v>1636.340903349098</v>
      </c>
      <c r="AO642">
        <f t="shared" si="558"/>
        <v>3.623356297377553</v>
      </c>
      <c r="AQ642">
        <f t="shared" si="559"/>
        <v>5.7392102517262957E-5</v>
      </c>
      <c r="AR642">
        <f t="shared" si="560"/>
        <v>-0.75757575322787107</v>
      </c>
      <c r="AT642">
        <f t="shared" si="561"/>
        <v>-6537.2888945587774</v>
      </c>
      <c r="AU642">
        <f t="shared" si="562"/>
        <v>-8753.313425897235</v>
      </c>
      <c r="AV642">
        <f t="shared" si="511"/>
        <v>-2.2122693476539093</v>
      </c>
      <c r="AW642">
        <f t="shared" si="512"/>
        <v>27658.735872811052</v>
      </c>
      <c r="AX642">
        <f t="shared" si="513"/>
        <v>-20621.617407565845</v>
      </c>
      <c r="AY642">
        <f t="shared" si="521"/>
        <v>-0.64066205225794237</v>
      </c>
      <c r="BA642">
        <f t="shared" si="502"/>
        <v>0.31666711462253083</v>
      </c>
      <c r="BB642">
        <f t="shared" si="514"/>
        <v>-9.9879407015875152</v>
      </c>
      <c r="BC642">
        <f t="shared" si="515"/>
        <v>-1.571607295395967</v>
      </c>
      <c r="BD642">
        <f t="shared" si="503"/>
        <v>-270.04646518105204</v>
      </c>
      <c r="BF642">
        <f t="shared" si="504"/>
        <v>-72.84401994745852</v>
      </c>
      <c r="BG642">
        <f t="shared" si="505"/>
        <v>-180.17796476439855</v>
      </c>
      <c r="BH642">
        <f t="shared" si="516"/>
        <v>-0.17796476439855269</v>
      </c>
      <c r="BI642">
        <f t="shared" si="517"/>
        <v>-0.17796476439855269</v>
      </c>
      <c r="BJ642">
        <f t="shared" si="506"/>
        <v>0</v>
      </c>
      <c r="BK642">
        <f t="shared" si="518"/>
        <v>0</v>
      </c>
      <c r="BM642">
        <f t="shared" si="519"/>
        <v>-62.856079245871001</v>
      </c>
      <c r="BN642">
        <f t="shared" si="507"/>
        <v>-90.13149958334651</v>
      </c>
      <c r="BQ642" s="66">
        <f t="shared" si="520"/>
        <v>6.9140200986976232</v>
      </c>
    </row>
    <row r="643" spans="1:69" x14ac:dyDescent="0.2">
      <c r="A643">
        <f t="shared" si="563"/>
        <v>6700000</v>
      </c>
      <c r="B643">
        <f t="shared" si="508"/>
        <v>6700</v>
      </c>
      <c r="C643">
        <f t="shared" si="539"/>
        <v>416.76488066793723</v>
      </c>
      <c r="D643">
        <f t="shared" si="540"/>
        <v>1.5683968900718517</v>
      </c>
      <c r="F643">
        <f t="shared" si="541"/>
        <v>1.134182015776629E-7</v>
      </c>
      <c r="G643">
        <f t="shared" si="542"/>
        <v>1.3858935631684349E-4</v>
      </c>
      <c r="H643">
        <f t="shared" si="481"/>
        <v>-3.1414540606436834</v>
      </c>
      <c r="J643">
        <f t="shared" si="482"/>
        <v>15</v>
      </c>
      <c r="M643">
        <f t="shared" si="543"/>
        <v>5.0350733700743513E-4</v>
      </c>
      <c r="N643">
        <f t="shared" si="484"/>
        <v>-1.5707963250000001</v>
      </c>
      <c r="O643">
        <f t="shared" si="544"/>
        <v>1985.310877461342</v>
      </c>
      <c r="P643">
        <f t="shared" si="486"/>
        <v>1.5702926273221147</v>
      </c>
      <c r="Q643">
        <f t="shared" si="545"/>
        <v>2750.640476039252</v>
      </c>
      <c r="R643">
        <f t="shared" si="488"/>
        <v>1.5704327750945783</v>
      </c>
      <c r="S643">
        <f t="shared" si="546"/>
        <v>3.9990369024115596E-3</v>
      </c>
      <c r="T643">
        <f t="shared" si="490"/>
        <v>-1.5667972792334446</v>
      </c>
      <c r="U643">
        <f t="shared" si="547"/>
        <v>0.7971353945191012</v>
      </c>
      <c r="V643">
        <f t="shared" si="492"/>
        <v>-0.6482603688854961</v>
      </c>
      <c r="X643">
        <f t="shared" si="548"/>
        <v>-44.131584184712253</v>
      </c>
      <c r="Y643">
        <f t="shared" si="549"/>
        <v>-127.09268129632726</v>
      </c>
      <c r="Z643">
        <f t="shared" si="510"/>
        <v>52.907318703672743</v>
      </c>
      <c r="AC643">
        <v>1</v>
      </c>
      <c r="AD643">
        <f t="shared" si="550"/>
        <v>1985.3106256116005</v>
      </c>
      <c r="AE643">
        <f t="shared" si="551"/>
        <v>-8.3576299409803295E-2</v>
      </c>
      <c r="AF643">
        <f t="shared" si="552"/>
        <v>0.11033713209771</v>
      </c>
      <c r="AG643">
        <f t="shared" si="553"/>
        <v>11428.921037352562</v>
      </c>
      <c r="AH643">
        <f t="shared" si="554"/>
        <v>-8666.0483952221803</v>
      </c>
      <c r="AJ643">
        <f t="shared" si="497"/>
        <v>18000</v>
      </c>
      <c r="AK643">
        <f t="shared" si="555"/>
        <v>4501047.7542491993</v>
      </c>
      <c r="AL643">
        <v>18</v>
      </c>
      <c r="AM643">
        <f t="shared" si="556"/>
        <v>2750.6402942633999</v>
      </c>
      <c r="AN643">
        <f t="shared" si="557"/>
        <v>1636.336386510483</v>
      </c>
      <c r="AO643">
        <f t="shared" si="558"/>
        <v>4.1641413386827448</v>
      </c>
      <c r="AQ643">
        <f t="shared" si="559"/>
        <v>5.5691690489576241E-5</v>
      </c>
      <c r="AR643">
        <f t="shared" si="560"/>
        <v>-0.7462686525603216</v>
      </c>
      <c r="AT643">
        <f t="shared" si="561"/>
        <v>-6466.563762991952</v>
      </c>
      <c r="AU643">
        <f t="shared" si="562"/>
        <v>-8529.5281296484027</v>
      </c>
      <c r="AV643">
        <f t="shared" si="511"/>
        <v>-2.2194857682876417</v>
      </c>
      <c r="AW643">
        <f t="shared" si="512"/>
        <v>27381.935707469875</v>
      </c>
      <c r="AX643">
        <f t="shared" si="513"/>
        <v>-20679.055948102665</v>
      </c>
      <c r="AY643">
        <f t="shared" si="521"/>
        <v>-0.6468258828740644</v>
      </c>
      <c r="BA643">
        <f t="shared" si="502"/>
        <v>0.31194157431653763</v>
      </c>
      <c r="BB643">
        <f t="shared" si="514"/>
        <v>-10.11853480732421</v>
      </c>
      <c r="BC643">
        <f t="shared" si="515"/>
        <v>-1.5726598854135774</v>
      </c>
      <c r="BD643">
        <f t="shared" si="503"/>
        <v>-270.1067741466876</v>
      </c>
      <c r="BF643">
        <f t="shared" si="504"/>
        <v>-73.10523218758523</v>
      </c>
      <c r="BG643">
        <f t="shared" si="505"/>
        <v>-180.23631105623244</v>
      </c>
      <c r="BH643">
        <f t="shared" si="516"/>
        <v>-0.23631105623243798</v>
      </c>
      <c r="BI643">
        <f t="shared" si="517"/>
        <v>-0.23631105623243798</v>
      </c>
      <c r="BJ643">
        <f t="shared" si="506"/>
        <v>0</v>
      </c>
      <c r="BK643">
        <f t="shared" si="518"/>
        <v>0</v>
      </c>
      <c r="BM643">
        <f t="shared" si="519"/>
        <v>-62.98669738026102</v>
      </c>
      <c r="BN643">
        <f t="shared" si="507"/>
        <v>-90.129536909544797</v>
      </c>
      <c r="BQ643" s="66">
        <f t="shared" si="520"/>
        <v>6.7834259929609289</v>
      </c>
    </row>
    <row r="644" spans="1:69" x14ac:dyDescent="0.2">
      <c r="A644">
        <f t="shared" si="563"/>
        <v>6800000</v>
      </c>
      <c r="B644">
        <f t="shared" si="508"/>
        <v>6800</v>
      </c>
      <c r="C644">
        <f t="shared" si="539"/>
        <v>422.98521647206132</v>
      </c>
      <c r="D644">
        <f t="shared" si="540"/>
        <v>1.5684321757735531</v>
      </c>
      <c r="F644">
        <f t="shared" si="541"/>
        <v>1.1010689994046163E-7</v>
      </c>
      <c r="G644">
        <f t="shared" si="542"/>
        <v>1.3655127711700781E-4</v>
      </c>
      <c r="H644">
        <f t="shared" si="481"/>
        <v>-3.141456098722883</v>
      </c>
      <c r="J644">
        <f t="shared" si="482"/>
        <v>15</v>
      </c>
      <c r="M644">
        <f t="shared" si="543"/>
        <v>4.9610281734556113E-4</v>
      </c>
      <c r="N644">
        <f t="shared" si="484"/>
        <v>-1.5707963250000001</v>
      </c>
      <c r="O644">
        <f t="shared" si="544"/>
        <v>2014.9423756324697</v>
      </c>
      <c r="P644">
        <f t="shared" si="486"/>
        <v>1.5703000346660771</v>
      </c>
      <c r="Q644">
        <f t="shared" si="545"/>
        <v>2791.694806116278</v>
      </c>
      <c r="R644">
        <f t="shared" si="488"/>
        <v>1.5704381214426517</v>
      </c>
      <c r="S644">
        <f t="shared" si="546"/>
        <v>3.9402284560521922E-3</v>
      </c>
      <c r="T644">
        <f t="shared" si="490"/>
        <v>-1.5668560881431692</v>
      </c>
      <c r="U644">
        <f t="shared" si="547"/>
        <v>0.79280108482585354</v>
      </c>
      <c r="V644">
        <f t="shared" si="492"/>
        <v>-0.65540511279961911</v>
      </c>
      <c r="X644">
        <f t="shared" si="548"/>
        <v>-44.307622310991974</v>
      </c>
      <c r="Y644">
        <f t="shared" si="549"/>
        <v>-127.50277878992685</v>
      </c>
      <c r="Z644">
        <f t="shared" si="510"/>
        <v>52.49722121007315</v>
      </c>
      <c r="AC644">
        <v>1</v>
      </c>
      <c r="AD644">
        <f t="shared" si="550"/>
        <v>2014.9421274864005</v>
      </c>
      <c r="AE644">
        <f t="shared" si="551"/>
        <v>-8.608973233925829E-2</v>
      </c>
      <c r="AF644">
        <f t="shared" si="552"/>
        <v>0.11198395496484001</v>
      </c>
      <c r="AG644">
        <f t="shared" si="553"/>
        <v>11304.972684778975</v>
      </c>
      <c r="AH644">
        <f t="shared" si="554"/>
        <v>-8699.8362653036693</v>
      </c>
      <c r="AJ644">
        <f t="shared" si="497"/>
        <v>18000</v>
      </c>
      <c r="AK644">
        <f t="shared" si="555"/>
        <v>4568227.5714767994</v>
      </c>
      <c r="AL644">
        <v>19</v>
      </c>
      <c r="AM644">
        <f t="shared" si="556"/>
        <v>2791.6946270136</v>
      </c>
      <c r="AN644">
        <f t="shared" si="557"/>
        <v>1636.3317233755349</v>
      </c>
      <c r="AO644">
        <f t="shared" si="558"/>
        <v>4.6890167060064298</v>
      </c>
      <c r="AQ644">
        <f t="shared" si="559"/>
        <v>5.4065743652326213E-5</v>
      </c>
      <c r="AR644">
        <f t="shared" si="560"/>
        <v>-0.73529411367163655</v>
      </c>
      <c r="AT644">
        <f t="shared" si="561"/>
        <v>-6396.3271840296502</v>
      </c>
      <c r="AU644">
        <f t="shared" si="562"/>
        <v>-8312.9502334539557</v>
      </c>
      <c r="AV644">
        <f t="shared" si="511"/>
        <v>-2.2266242023117027</v>
      </c>
      <c r="AW644">
        <f t="shared" si="512"/>
        <v>27106.942784684234</v>
      </c>
      <c r="AX644">
        <f t="shared" si="513"/>
        <v>-20732.422183211627</v>
      </c>
      <c r="AY644">
        <f t="shared" si="521"/>
        <v>-0.65293004561176538</v>
      </c>
      <c r="BA644">
        <f t="shared" si="502"/>
        <v>0.30735486617770758</v>
      </c>
      <c r="BB644">
        <f t="shared" si="514"/>
        <v>-10.247198130940792</v>
      </c>
      <c r="BC644">
        <f t="shared" si="515"/>
        <v>-1.5736941566999372</v>
      </c>
      <c r="BD644">
        <f t="shared" si="503"/>
        <v>-270.16603352633535</v>
      </c>
      <c r="BF644">
        <f t="shared" si="504"/>
        <v>-73.362578467871941</v>
      </c>
      <c r="BG644">
        <f t="shared" si="505"/>
        <v>-180.29366548742976</v>
      </c>
      <c r="BH644">
        <f t="shared" si="516"/>
        <v>-0.29366548742976306</v>
      </c>
      <c r="BI644">
        <f t="shared" si="517"/>
        <v>-0.29366548742976306</v>
      </c>
      <c r="BJ644">
        <f t="shared" si="506"/>
        <v>0</v>
      </c>
      <c r="BK644">
        <f t="shared" si="518"/>
        <v>0</v>
      </c>
      <c r="BM644">
        <f t="shared" si="519"/>
        <v>-63.115380336931153</v>
      </c>
      <c r="BN644">
        <f t="shared" si="507"/>
        <v>-90.127631961094437</v>
      </c>
      <c r="BQ644" s="66">
        <f t="shared" si="520"/>
        <v>6.6547626693443469</v>
      </c>
    </row>
    <row r="645" spans="1:69" x14ac:dyDescent="0.2">
      <c r="A645">
        <f t="shared" si="563"/>
        <v>6900000</v>
      </c>
      <c r="B645">
        <f t="shared" si="508"/>
        <v>6900</v>
      </c>
      <c r="C645">
        <f t="shared" si="539"/>
        <v>429.20555278757104</v>
      </c>
      <c r="D645">
        <f t="shared" si="540"/>
        <v>1.5684664387069267</v>
      </c>
      <c r="F645">
        <f t="shared" si="541"/>
        <v>1.0693852212444509E-7</v>
      </c>
      <c r="G645">
        <f t="shared" si="542"/>
        <v>1.3457227269489849E-4</v>
      </c>
      <c r="H645">
        <f t="shared" si="481"/>
        <v>-3.1414580777273051</v>
      </c>
      <c r="J645">
        <f t="shared" si="482"/>
        <v>15</v>
      </c>
      <c r="M645">
        <f t="shared" si="543"/>
        <v>4.8891292144200222E-4</v>
      </c>
      <c r="N645">
        <f t="shared" si="484"/>
        <v>-1.5707963250000001</v>
      </c>
      <c r="O645">
        <f t="shared" si="544"/>
        <v>2044.5738739109504</v>
      </c>
      <c r="P645">
        <f t="shared" si="486"/>
        <v>1.5703072273044698</v>
      </c>
      <c r="Q645">
        <f t="shared" si="545"/>
        <v>2832.7491362707874</v>
      </c>
      <c r="R645">
        <f t="shared" si="488"/>
        <v>1.5704433128241337</v>
      </c>
      <c r="S645">
        <f t="shared" si="546"/>
        <v>3.8831245632138566E-3</v>
      </c>
      <c r="T645">
        <f t="shared" si="490"/>
        <v>-1.5669131924728996</v>
      </c>
      <c r="U645">
        <f t="shared" si="547"/>
        <v>0.78847405689770989</v>
      </c>
      <c r="V645">
        <f t="shared" si="492"/>
        <v>-0.66247222363460201</v>
      </c>
      <c r="X645">
        <f t="shared" si="548"/>
        <v>-44.48196125014276</v>
      </c>
      <c r="Y645">
        <f t="shared" si="549"/>
        <v>-127.90840696672429</v>
      </c>
      <c r="Z645">
        <f t="shared" si="510"/>
        <v>52.091593033275714</v>
      </c>
      <c r="AC645">
        <v>1</v>
      </c>
      <c r="AD645">
        <f t="shared" si="550"/>
        <v>2044.5736293612001</v>
      </c>
      <c r="AE645">
        <f t="shared" si="551"/>
        <v>-8.8640401312112579E-2</v>
      </c>
      <c r="AF645">
        <f t="shared" si="552"/>
        <v>0.11363077783197001</v>
      </c>
      <c r="AG645">
        <f t="shared" si="553"/>
        <v>11181.906655635115</v>
      </c>
      <c r="AH645">
        <f t="shared" si="554"/>
        <v>-8731.5137000754803</v>
      </c>
      <c r="AJ645">
        <f t="shared" si="497"/>
        <v>18000</v>
      </c>
      <c r="AK645">
        <f t="shared" si="555"/>
        <v>4635407.3887043996</v>
      </c>
      <c r="AL645">
        <v>20</v>
      </c>
      <c r="AM645">
        <f t="shared" si="556"/>
        <v>2832.7489597638</v>
      </c>
      <c r="AN645">
        <f t="shared" si="557"/>
        <v>1636.3269322703857</v>
      </c>
      <c r="AO645">
        <f t="shared" si="558"/>
        <v>5.1986740987579907</v>
      </c>
      <c r="AQ645">
        <f t="shared" si="559"/>
        <v>5.25099766198804E-5</v>
      </c>
      <c r="AR645">
        <f t="shared" si="560"/>
        <v>-0.72463767735434947</v>
      </c>
      <c r="AT645">
        <f t="shared" si="561"/>
        <v>-6326.596645753325</v>
      </c>
      <c r="AU645">
        <f t="shared" si="562"/>
        <v>-8103.2893589128189</v>
      </c>
      <c r="AV645">
        <f t="shared" si="511"/>
        <v>-2.233685186151936</v>
      </c>
      <c r="AW645">
        <f t="shared" si="512"/>
        <v>26833.831138568166</v>
      </c>
      <c r="AX645">
        <f t="shared" si="513"/>
        <v>-20781.80052021056</v>
      </c>
      <c r="AY645">
        <f t="shared" si="521"/>
        <v>-0.65897428110738865</v>
      </c>
      <c r="BA645">
        <f t="shared" si="502"/>
        <v>0.3029009582828851</v>
      </c>
      <c r="BB645">
        <f t="shared" si="514"/>
        <v>-10.373987053890211</v>
      </c>
      <c r="BC645">
        <f t="shared" si="515"/>
        <v>-1.5747109050445474</v>
      </c>
      <c r="BD645">
        <f t="shared" si="503"/>
        <v>-270.22428891537498</v>
      </c>
      <c r="BF645">
        <f t="shared" si="504"/>
        <v>-73.616171675348753</v>
      </c>
      <c r="BG645">
        <f t="shared" si="505"/>
        <v>-180.35007114359226</v>
      </c>
      <c r="BH645">
        <f t="shared" si="516"/>
        <v>-0.35007114359225966</v>
      </c>
      <c r="BI645">
        <f t="shared" si="517"/>
        <v>-0.35007114359225966</v>
      </c>
      <c r="BJ645">
        <f t="shared" si="506"/>
        <v>0</v>
      </c>
      <c r="BK645">
        <f t="shared" si="518"/>
        <v>0</v>
      </c>
      <c r="BM645">
        <f t="shared" si="519"/>
        <v>-63.242184621458541</v>
      </c>
      <c r="BN645">
        <f t="shared" si="507"/>
        <v>-90.12578222821729</v>
      </c>
      <c r="BQ645" s="66">
        <f t="shared" si="520"/>
        <v>6.5279737463949274</v>
      </c>
    </row>
    <row r="646" spans="1:69" x14ac:dyDescent="0.2">
      <c r="A646">
        <f t="shared" si="563"/>
        <v>7000000</v>
      </c>
      <c r="B646">
        <f t="shared" si="508"/>
        <v>7000</v>
      </c>
      <c r="C646">
        <f t="shared" si="539"/>
        <v>435.42588959254994</v>
      </c>
      <c r="D646">
        <f t="shared" si="540"/>
        <v>1.5684997227045856</v>
      </c>
      <c r="F646">
        <f t="shared" si="541"/>
        <v>1.0390495967503685E-7</v>
      </c>
      <c r="G646">
        <f t="shared" si="542"/>
        <v>1.3264981127330335E-4</v>
      </c>
      <c r="H646">
        <f t="shared" si="481"/>
        <v>-3.1414600001887267</v>
      </c>
      <c r="J646">
        <f t="shared" si="482"/>
        <v>15</v>
      </c>
      <c r="M646">
        <f t="shared" si="543"/>
        <v>4.819284511356879E-4</v>
      </c>
      <c r="N646">
        <f t="shared" si="484"/>
        <v>-1.5707963250000001</v>
      </c>
      <c r="O646">
        <f t="shared" si="544"/>
        <v>2074.2053722921828</v>
      </c>
      <c r="P646">
        <f t="shared" si="486"/>
        <v>1.5703142144389568</v>
      </c>
      <c r="Q646">
        <f t="shared" si="545"/>
        <v>2873.8034664994593</v>
      </c>
      <c r="R646">
        <f t="shared" si="488"/>
        <v>1.570448355880449</v>
      </c>
      <c r="S646">
        <f t="shared" si="546"/>
        <v>3.8276521737908293E-3</v>
      </c>
      <c r="T646">
        <f t="shared" si="490"/>
        <v>-1.5669686652746058</v>
      </c>
      <c r="U646">
        <f t="shared" si="547"/>
        <v>0.78415547820652343</v>
      </c>
      <c r="V646">
        <f t="shared" si="492"/>
        <v>-0.6694622653762019</v>
      </c>
      <c r="X646">
        <f t="shared" si="548"/>
        <v>-44.654643666017357</v>
      </c>
      <c r="Y646">
        <f t="shared" si="549"/>
        <v>-128.30959905218702</v>
      </c>
      <c r="Z646">
        <f t="shared" si="510"/>
        <v>51.690400947812975</v>
      </c>
      <c r="AC646">
        <v>1</v>
      </c>
      <c r="AD646">
        <f t="shared" si="550"/>
        <v>2074.2051312359999</v>
      </c>
      <c r="AE646">
        <f t="shared" si="551"/>
        <v>-9.1228306328366246E-2</v>
      </c>
      <c r="AF646">
        <f t="shared" si="552"/>
        <v>0.11527760069909999</v>
      </c>
      <c r="AG646">
        <f t="shared" si="553"/>
        <v>11059.752481701682</v>
      </c>
      <c r="AH646">
        <f t="shared" si="554"/>
        <v>-8761.1338299173585</v>
      </c>
      <c r="AJ646">
        <f t="shared" si="497"/>
        <v>18000</v>
      </c>
      <c r="AK646">
        <f t="shared" si="555"/>
        <v>4702587.2059319997</v>
      </c>
      <c r="AL646">
        <v>21</v>
      </c>
      <c r="AM646">
        <f t="shared" si="556"/>
        <v>2873.8032925139996</v>
      </c>
      <c r="AN646">
        <f t="shared" si="557"/>
        <v>1636.322029799928</v>
      </c>
      <c r="AO646">
        <f t="shared" si="558"/>
        <v>5.6937657035963536</v>
      </c>
      <c r="AQ646">
        <f t="shared" si="559"/>
        <v>5.1020407902957101E-5</v>
      </c>
      <c r="AR646">
        <f t="shared" si="560"/>
        <v>-0.71428571064139945</v>
      </c>
      <c r="AT646">
        <f t="shared" si="561"/>
        <v>-6257.3884306440041</v>
      </c>
      <c r="AU646">
        <f t="shared" si="562"/>
        <v>-7900.2701575319616</v>
      </c>
      <c r="AV646">
        <f t="shared" si="511"/>
        <v>-2.2406692759557312</v>
      </c>
      <c r="AW646">
        <f t="shared" si="512"/>
        <v>26562.669778769679</v>
      </c>
      <c r="AX646">
        <f t="shared" si="513"/>
        <v>-20827.276716083965</v>
      </c>
      <c r="AY646">
        <f t="shared" si="521"/>
        <v>-0.66495839518542121</v>
      </c>
      <c r="BA646">
        <f t="shared" si="502"/>
        <v>0.29857416314659857</v>
      </c>
      <c r="BB646">
        <f t="shared" si="514"/>
        <v>-10.498955525544659</v>
      </c>
      <c r="BC646">
        <f t="shared" si="515"/>
        <v>-1.57571088077031</v>
      </c>
      <c r="BD646">
        <f t="shared" si="503"/>
        <v>-270.28158330414215</v>
      </c>
      <c r="BF646">
        <f t="shared" si="504"/>
        <v>-73.8661198256479</v>
      </c>
      <c r="BG646">
        <f t="shared" si="505"/>
        <v>-180.40556864869197</v>
      </c>
      <c r="BH646">
        <f t="shared" si="516"/>
        <v>-0.40556864869196829</v>
      </c>
      <c r="BI646">
        <f t="shared" si="517"/>
        <v>-0.40556864869196829</v>
      </c>
      <c r="BJ646">
        <f t="shared" si="506"/>
        <v>0</v>
      </c>
      <c r="BK646">
        <f t="shared" si="518"/>
        <v>0</v>
      </c>
      <c r="BM646">
        <f t="shared" si="519"/>
        <v>-63.367164300103241</v>
      </c>
      <c r="BN646">
        <f t="shared" si="507"/>
        <v>-90.123985344549808</v>
      </c>
      <c r="BQ646" s="66">
        <f t="shared" si="520"/>
        <v>6.4030052747404751</v>
      </c>
    </row>
    <row r="647" spans="1:69" x14ac:dyDescent="0.2">
      <c r="A647">
        <f t="shared" si="563"/>
        <v>7100000</v>
      </c>
      <c r="B647">
        <f t="shared" si="508"/>
        <v>7100</v>
      </c>
      <c r="C647">
        <f t="shared" si="539"/>
        <v>441.64622686631634</v>
      </c>
      <c r="D647">
        <f t="shared" si="540"/>
        <v>1.5685320691297218</v>
      </c>
      <c r="F647">
        <f t="shared" si="541"/>
        <v>1.0099867110508624E-7</v>
      </c>
      <c r="G647">
        <f t="shared" si="542"/>
        <v>1.3078150371041659E-4</v>
      </c>
      <c r="H647">
        <f t="shared" si="481"/>
        <v>-3.1414618684962896</v>
      </c>
      <c r="J647">
        <f t="shared" si="482"/>
        <v>15</v>
      </c>
      <c r="M647">
        <f t="shared" si="543"/>
        <v>4.7514072647180495E-4</v>
      </c>
      <c r="N647">
        <f t="shared" si="484"/>
        <v>-1.5707963250000001</v>
      </c>
      <c r="O647">
        <f t="shared" si="544"/>
        <v>2103.8368707718259</v>
      </c>
      <c r="P647">
        <f t="shared" si="486"/>
        <v>1.5703210047527991</v>
      </c>
      <c r="Q647">
        <f t="shared" si="545"/>
        <v>2914.8577967991596</v>
      </c>
      <c r="R647">
        <f t="shared" si="488"/>
        <v>1.5704532568788567</v>
      </c>
      <c r="S647">
        <f t="shared" si="546"/>
        <v>3.7737423530254596E-3</v>
      </c>
      <c r="T647">
        <f t="shared" si="490"/>
        <v>-1.5670225754847538</v>
      </c>
      <c r="U647">
        <f t="shared" si="547"/>
        <v>0.77984646634543353</v>
      </c>
      <c r="V647">
        <f t="shared" si="492"/>
        <v>-0.67637581990337103</v>
      </c>
      <c r="X647">
        <f t="shared" si="548"/>
        <v>-44.825710211915606</v>
      </c>
      <c r="Y647">
        <f t="shared" si="549"/>
        <v>-128.70638924564156</v>
      </c>
      <c r="Z647">
        <f t="shared" si="510"/>
        <v>51.29361075435844</v>
      </c>
      <c r="AC647">
        <v>1</v>
      </c>
      <c r="AD647">
        <f t="shared" si="550"/>
        <v>2103.8366331108</v>
      </c>
      <c r="AE647">
        <f t="shared" si="551"/>
        <v>-9.3853447388019234E-2</v>
      </c>
      <c r="AF647">
        <f t="shared" si="552"/>
        <v>0.11692442356623001</v>
      </c>
      <c r="AG647">
        <f t="shared" si="553"/>
        <v>10938.537577084549</v>
      </c>
      <c r="AH647">
        <f t="shared" si="554"/>
        <v>-8788.7494301880997</v>
      </c>
      <c r="AJ647">
        <f t="shared" si="497"/>
        <v>18000</v>
      </c>
      <c r="AK647">
        <f t="shared" si="555"/>
        <v>4769767.0231595999</v>
      </c>
      <c r="AL647">
        <v>22</v>
      </c>
      <c r="AM647">
        <f t="shared" si="556"/>
        <v>2914.8576252642001</v>
      </c>
      <c r="AN647">
        <f t="shared" si="557"/>
        <v>1636.3170310158214</v>
      </c>
      <c r="AO647">
        <f t="shared" si="558"/>
        <v>6.1749069753335393</v>
      </c>
      <c r="AQ647">
        <f t="shared" si="559"/>
        <v>4.9593334409872377E-5</v>
      </c>
      <c r="AR647">
        <f t="shared" si="560"/>
        <v>-0.70422534862018771</v>
      </c>
      <c r="AT647">
        <f t="shared" si="561"/>
        <v>-6188.7176528576756</v>
      </c>
      <c r="AU647">
        <f t="shared" si="562"/>
        <v>-7703.6313020069265</v>
      </c>
      <c r="AV647">
        <f t="shared" si="511"/>
        <v>-2.24757704620527</v>
      </c>
      <c r="AW647">
        <f t="shared" si="512"/>
        <v>26293.52285824799</v>
      </c>
      <c r="AX647">
        <f t="shared" si="513"/>
        <v>-20868.937588986973</v>
      </c>
      <c r="AY647">
        <f t="shared" si="521"/>
        <v>-0.67088225427124393</v>
      </c>
      <c r="BA647">
        <f t="shared" si="502"/>
        <v>0.294369113482084</v>
      </c>
      <c r="BB647">
        <f t="shared" si="514"/>
        <v>-10.622155201092379</v>
      </c>
      <c r="BC647">
        <f t="shared" si="515"/>
        <v>-1.5766947919340262</v>
      </c>
      <c r="BD647">
        <f t="shared" si="503"/>
        <v>-270.33795726130336</v>
      </c>
      <c r="BF647">
        <f t="shared" si="504"/>
        <v>-74.11252633931737</v>
      </c>
      <c r="BG647">
        <f t="shared" si="505"/>
        <v>-180.46019633834669</v>
      </c>
      <c r="BH647">
        <f t="shared" si="516"/>
        <v>-0.46019633834669094</v>
      </c>
      <c r="BI647">
        <f t="shared" si="517"/>
        <v>-0.46019633834669094</v>
      </c>
      <c r="BJ647">
        <f t="shared" si="506"/>
        <v>0</v>
      </c>
      <c r="BK647">
        <f t="shared" si="518"/>
        <v>0</v>
      </c>
      <c r="BM647">
        <f t="shared" si="519"/>
        <v>-63.490371138225001</v>
      </c>
      <c r="BN647">
        <f t="shared" si="507"/>
        <v>-90.122239077043361</v>
      </c>
      <c r="BQ647" s="66">
        <f t="shared" si="520"/>
        <v>6.2798055991927555</v>
      </c>
    </row>
    <row r="648" spans="1:69" x14ac:dyDescent="0.2">
      <c r="A648">
        <f t="shared" si="563"/>
        <v>7200000</v>
      </c>
      <c r="B648">
        <f t="shared" si="508"/>
        <v>7200</v>
      </c>
      <c r="C648">
        <f t="shared" si="539"/>
        <v>447.86656458933754</v>
      </c>
      <c r="D648">
        <f t="shared" si="540"/>
        <v>1.5685635170475918</v>
      </c>
      <c r="F648">
        <f t="shared" si="541"/>
        <v>9.8212634978850018E-8</v>
      </c>
      <c r="G648">
        <f t="shared" si="542"/>
        <v>1.289650935945966E-4</v>
      </c>
      <c r="H648">
        <f t="shared" si="481"/>
        <v>-3.1414636849064057</v>
      </c>
      <c r="J648">
        <f t="shared" si="482"/>
        <v>15</v>
      </c>
      <c r="M648">
        <f t="shared" si="543"/>
        <v>4.685415497152521E-4</v>
      </c>
      <c r="N648">
        <f t="shared" si="484"/>
        <v>-1.5707963250000001</v>
      </c>
      <c r="O648">
        <f t="shared" si="544"/>
        <v>2133.4683693457782</v>
      </c>
      <c r="P648">
        <f t="shared" si="486"/>
        <v>1.5703276064468545</v>
      </c>
      <c r="Q648">
        <f t="shared" si="545"/>
        <v>2955.9121271669301</v>
      </c>
      <c r="R648">
        <f t="shared" si="488"/>
        <v>1.5704580217384356</v>
      </c>
      <c r="S648">
        <f t="shared" si="546"/>
        <v>3.7213299957324251E-3</v>
      </c>
      <c r="T648">
        <f t="shared" si="490"/>
        <v>-1.5670749882100969</v>
      </c>
      <c r="U648">
        <f t="shared" si="547"/>
        <v>0.77554809005545788</v>
      </c>
      <c r="V648">
        <f t="shared" si="492"/>
        <v>-0.68321348567947326</v>
      </c>
      <c r="X648">
        <f t="shared" si="548"/>
        <v>-44.99519965713197</v>
      </c>
      <c r="Y648">
        <f t="shared" si="549"/>
        <v>-129.09881264885084</v>
      </c>
      <c r="Z648">
        <f t="shared" si="510"/>
        <v>50.901187351149161</v>
      </c>
      <c r="AC648">
        <v>1</v>
      </c>
      <c r="AD648">
        <f t="shared" si="550"/>
        <v>2133.4681349856005</v>
      </c>
      <c r="AE648">
        <f t="shared" si="551"/>
        <v>-9.6515824491071558E-2</v>
      </c>
      <c r="AF648">
        <f t="shared" si="552"/>
        <v>0.11857124643336002</v>
      </c>
      <c r="AG648">
        <f t="shared" si="553"/>
        <v>10818.287309209889</v>
      </c>
      <c r="AH648">
        <f t="shared" si="554"/>
        <v>-8814.4128586611496</v>
      </c>
      <c r="AJ648">
        <f t="shared" si="497"/>
        <v>18000</v>
      </c>
      <c r="AK648">
        <f t="shared" si="555"/>
        <v>4836946.8403872</v>
      </c>
      <c r="AL648">
        <v>23</v>
      </c>
      <c r="AM648">
        <f t="shared" si="556"/>
        <v>2955.9119580144002</v>
      </c>
      <c r="AN648">
        <f t="shared" si="557"/>
        <v>1636.3119495666494</v>
      </c>
      <c r="AO648">
        <f t="shared" si="558"/>
        <v>6.6426791862984436</v>
      </c>
      <c r="AQ648">
        <f t="shared" si="559"/>
        <v>4.8225308409407272E-5</v>
      </c>
      <c r="AR648">
        <f t="shared" si="560"/>
        <v>-0.69444444109546466</v>
      </c>
      <c r="AT648">
        <f t="shared" si="561"/>
        <v>-6120.5982959756711</v>
      </c>
      <c r="AU648">
        <f t="shared" si="562"/>
        <v>-7513.1245618329758</v>
      </c>
      <c r="AV648">
        <f t="shared" si="511"/>
        <v>-2.254409088378079</v>
      </c>
      <c r="AW648">
        <f t="shared" si="512"/>
        <v>26026.449840820387</v>
      </c>
      <c r="AX648">
        <f t="shared" si="513"/>
        <v>-20906.870752522969</v>
      </c>
      <c r="AY648">
        <f t="shared" si="521"/>
        <v>-0.67674578111776285</v>
      </c>
      <c r="BA648">
        <f t="shared" si="502"/>
        <v>0.29028073998079018</v>
      </c>
      <c r="BB648">
        <f t="shared" si="514"/>
        <v>-10.743635569797764</v>
      </c>
      <c r="BC648">
        <f t="shared" si="515"/>
        <v>-1.5776633072603161</v>
      </c>
      <c r="BD648">
        <f t="shared" si="503"/>
        <v>-270.39344910195689</v>
      </c>
      <c r="BF648">
        <f t="shared" si="504"/>
        <v>-74.355490298816974</v>
      </c>
      <c r="BG648">
        <f t="shared" si="505"/>
        <v>-180.51399041866338</v>
      </c>
      <c r="BH648">
        <f t="shared" si="516"/>
        <v>-0.5139904186633828</v>
      </c>
      <c r="BI648">
        <f t="shared" si="517"/>
        <v>-0.5139904186633828</v>
      </c>
      <c r="BJ648">
        <f t="shared" si="506"/>
        <v>0</v>
      </c>
      <c r="BK648">
        <f t="shared" si="518"/>
        <v>0</v>
      </c>
      <c r="BM648">
        <f t="shared" si="519"/>
        <v>-63.6118547290192</v>
      </c>
      <c r="BN648">
        <f t="shared" si="507"/>
        <v>-90.120541316706507</v>
      </c>
      <c r="BQ648" s="66">
        <f t="shared" si="520"/>
        <v>6.1583252304873728</v>
      </c>
    </row>
    <row r="649" spans="1:69" x14ac:dyDescent="0.2">
      <c r="A649">
        <f t="shared" si="563"/>
        <v>7300000</v>
      </c>
      <c r="B649">
        <f t="shared" si="508"/>
        <v>7300</v>
      </c>
      <c r="C649">
        <f t="shared" si="539"/>
        <v>454.08690274315114</v>
      </c>
      <c r="D649">
        <f t="shared" si="540"/>
        <v>1.5685941033829078</v>
      </c>
      <c r="F649">
        <f t="shared" si="541"/>
        <v>9.5540307463587679E-8</v>
      </c>
      <c r="G649">
        <f t="shared" si="542"/>
        <v>1.2719844815325365E-4</v>
      </c>
      <c r="H649">
        <f t="shared" ref="H649:H676" si="564">IF(G649&gt;0,G649-Pi,G649)</f>
        <v>-3.1414654515518468</v>
      </c>
      <c r="J649">
        <f t="shared" ref="J649:J676" si="565">Vin/Vramp</f>
        <v>15</v>
      </c>
      <c r="M649">
        <f t="shared" si="543"/>
        <v>4.6212317232189253E-4</v>
      </c>
      <c r="N649">
        <f t="shared" ref="N649:N676" si="566">-Pi/2</f>
        <v>-1.5707963250000001</v>
      </c>
      <c r="O649">
        <f t="shared" si="544"/>
        <v>2163.0998680101652</v>
      </c>
      <c r="P649">
        <f t="shared" ref="P649:P676" si="567">ATAN2(Fz1_u,A649)</f>
        <v>1.5703340272726189</v>
      </c>
      <c r="Q649">
        <f t="shared" si="545"/>
        <v>2996.9664575999723</v>
      </c>
      <c r="R649">
        <f t="shared" ref="R649:R676" si="568">ATAN2(Fz2_u,A649)</f>
        <v>1.5704626560539312</v>
      </c>
      <c r="S649">
        <f t="shared" si="546"/>
        <v>3.6703535640102381E-3</v>
      </c>
      <c r="T649">
        <f t="shared" ref="T649:T676" si="569">-ATAN2(Fp1_u,A649)</f>
        <v>-1.567125964989978</v>
      </c>
      <c r="U649">
        <f t="shared" si="547"/>
        <v>0.77126137028493325</v>
      </c>
      <c r="V649">
        <f t="shared" ref="V649:V676" si="570">-ATAN2(Fp2_u,A649)</f>
        <v>-0.68997587648818037</v>
      </c>
      <c r="X649">
        <f t="shared" si="548"/>
        <v>-45.163149004301523</v>
      </c>
      <c r="Y649">
        <f t="shared" si="549"/>
        <v>-129.48690519685883</v>
      </c>
      <c r="Z649">
        <f t="shared" si="510"/>
        <v>50.513094803141172</v>
      </c>
      <c r="AC649">
        <v>1</v>
      </c>
      <c r="AD649">
        <f t="shared" si="550"/>
        <v>2163.0996368604006</v>
      </c>
      <c r="AE649">
        <f t="shared" si="551"/>
        <v>-9.9215437637523232E-2</v>
      </c>
      <c r="AF649">
        <f t="shared" si="552"/>
        <v>0.12021806930049</v>
      </c>
      <c r="AG649">
        <f t="shared" si="553"/>
        <v>10699.025069953437</v>
      </c>
      <c r="AH649">
        <f t="shared" si="554"/>
        <v>-8838.1759979398721</v>
      </c>
      <c r="AJ649">
        <f t="shared" ref="AJ649:AJ676" si="571">_Rfb1</f>
        <v>18000</v>
      </c>
      <c r="AK649">
        <f t="shared" si="555"/>
        <v>4904126.6576147992</v>
      </c>
      <c r="AL649">
        <v>24</v>
      </c>
      <c r="AM649">
        <f t="shared" si="556"/>
        <v>2996.9662907646002</v>
      </c>
      <c r="AN649">
        <f t="shared" si="557"/>
        <v>1636.3067978323131</v>
      </c>
      <c r="AO649">
        <f t="shared" si="558"/>
        <v>7.0976317663381732</v>
      </c>
      <c r="AQ649">
        <f t="shared" si="559"/>
        <v>4.691311668740328E-5</v>
      </c>
      <c r="AR649">
        <f t="shared" si="560"/>
        <v>-0.6849315036360879</v>
      </c>
      <c r="AT649">
        <f t="shared" si="561"/>
        <v>-6053.0432510577903</v>
      </c>
      <c r="AU649">
        <f t="shared" si="562"/>
        <v>-7328.5139549853029</v>
      </c>
      <c r="AV649">
        <f t="shared" si="511"/>
        <v>-2.2611660096547768</v>
      </c>
      <c r="AW649">
        <f t="shared" si="512"/>
        <v>25761.505668044403</v>
      </c>
      <c r="AX649">
        <f t="shared" si="513"/>
        <v>-20941.164371309253</v>
      </c>
      <c r="AY649">
        <f t="shared" si="521"/>
        <v>-0.68254895082026334</v>
      </c>
      <c r="BA649">
        <f t="shared" ref="BA649:BA676" si="572">SQRT(AT649^2+AU649^2)/SQRT(AW649^2+AX649^2)</f>
        <v>0.28630425091694695</v>
      </c>
      <c r="BB649">
        <f t="shared" si="514"/>
        <v>-10.863444074421844</v>
      </c>
      <c r="BC649">
        <f t="shared" si="515"/>
        <v>-1.5786170588345134</v>
      </c>
      <c r="BD649">
        <f t="shared" ref="BD649:BD678" si="573">BC649*180/Pi-180</f>
        <v>-270.44809504192483</v>
      </c>
      <c r="BF649">
        <f t="shared" ref="BF649:BF676" si="574">20*LOG(BA649*J649*F649*C649)</f>
        <v>-74.595106687795209</v>
      </c>
      <c r="BG649">
        <f t="shared" ref="BG649:BG676" si="575">(180/Pi)*(D649+H649+BC649)</f>
        <v>-180.56698511203271</v>
      </c>
      <c r="BH649">
        <f t="shared" si="516"/>
        <v>-0.56698511203271096</v>
      </c>
      <c r="BI649">
        <f t="shared" si="517"/>
        <v>-0.56698511203271096</v>
      </c>
      <c r="BJ649">
        <f t="shared" ref="BJ649:BJ676" si="576">SUM((BF650&lt;0)*(BF649&gt;0))*A649</f>
        <v>0</v>
      </c>
      <c r="BK649">
        <f t="shared" si="518"/>
        <v>0</v>
      </c>
      <c r="BM649">
        <f t="shared" si="519"/>
        <v>-63.731662613373359</v>
      </c>
      <c r="BN649">
        <f t="shared" ref="BN649:BN676" si="577">(H649+D649)*180/Pi</f>
        <v>-90.118890070107909</v>
      </c>
      <c r="BQ649" s="66">
        <f t="shared" si="520"/>
        <v>6.0385167258632926</v>
      </c>
    </row>
    <row r="650" spans="1:69" x14ac:dyDescent="0.2">
      <c r="A650">
        <f t="shared" si="563"/>
        <v>7400000</v>
      </c>
      <c r="B650">
        <f t="shared" ref="B650:B676" si="578">A650/1000</f>
        <v>7400</v>
      </c>
      <c r="C650">
        <f t="shared" si="539"/>
        <v>460.30724131029251</v>
      </c>
      <c r="D650">
        <f t="shared" si="540"/>
        <v>1.5686238630644682</v>
      </c>
      <c r="F650">
        <f t="shared" si="541"/>
        <v>9.2975583869095926E-8</v>
      </c>
      <c r="G650">
        <f t="shared" si="542"/>
        <v>1.2547954989885541E-4</v>
      </c>
      <c r="H650">
        <f t="shared" si="564"/>
        <v>-3.1414671704501012</v>
      </c>
      <c r="J650">
        <f t="shared" si="565"/>
        <v>15</v>
      </c>
      <c r="M650">
        <f t="shared" si="543"/>
        <v>4.5587826458781287E-4</v>
      </c>
      <c r="N650">
        <f t="shared" si="566"/>
        <v>-1.5707963250000001</v>
      </c>
      <c r="O650">
        <f t="shared" si="544"/>
        <v>2192.7313667613203</v>
      </c>
      <c r="P650">
        <f t="shared" si="567"/>
        <v>1.5703402745625883</v>
      </c>
      <c r="Q650">
        <f t="shared" si="545"/>
        <v>3038.0207880956405</v>
      </c>
      <c r="R650">
        <f t="shared" si="568"/>
        <v>1.5704671651176703</v>
      </c>
      <c r="S650">
        <f t="shared" si="546"/>
        <v>3.6207548462183704E-3</v>
      </c>
      <c r="T650">
        <f t="shared" si="569"/>
        <v>-1.5671755640373632</v>
      </c>
      <c r="U650">
        <f t="shared" si="547"/>
        <v>0.76698728127665716</v>
      </c>
      <c r="V650">
        <f t="shared" si="570"/>
        <v>-0.69666362021405703</v>
      </c>
      <c r="X650">
        <f t="shared" si="548"/>
        <v>-45.329593598295872</v>
      </c>
      <c r="Y650">
        <f t="shared" si="549"/>
        <v>-129.87070359113014</v>
      </c>
      <c r="Z650">
        <f t="shared" ref="Z650:Z676" si="579">Y650+180</f>
        <v>50.129296408869862</v>
      </c>
      <c r="AC650">
        <v>1</v>
      </c>
      <c r="AD650">
        <f t="shared" si="550"/>
        <v>2192.7311387352006</v>
      </c>
      <c r="AE650">
        <f t="shared" si="551"/>
        <v>-0.10195228682737421</v>
      </c>
      <c r="AF650">
        <f t="shared" si="552"/>
        <v>0.12186489216762</v>
      </c>
      <c r="AG650">
        <f t="shared" si="553"/>
        <v>10580.772346669384</v>
      </c>
      <c r="AH650">
        <f t="shared" si="554"/>
        <v>-8860.0902026619606</v>
      </c>
      <c r="AJ650">
        <f t="shared" si="571"/>
        <v>18000</v>
      </c>
      <c r="AK650">
        <f t="shared" si="555"/>
        <v>4971306.4748423994</v>
      </c>
      <c r="AL650">
        <v>25</v>
      </c>
      <c r="AM650">
        <f t="shared" si="556"/>
        <v>3038.0206235147998</v>
      </c>
      <c r="AN650">
        <f t="shared" si="557"/>
        <v>1636.3015870444608</v>
      </c>
      <c r="AO650">
        <f t="shared" si="558"/>
        <v>7.5402844532401243</v>
      </c>
      <c r="AQ650">
        <f t="shared" si="559"/>
        <v>4.5653761661551488E-5</v>
      </c>
      <c r="AR650">
        <f t="shared" si="560"/>
        <v>-0.67567567259096206</v>
      </c>
      <c r="AT650">
        <f t="shared" si="561"/>
        <v>-5986.0643548413036</v>
      </c>
      <c r="AU650">
        <f t="shared" si="562"/>
        <v>-7149.5749683141003</v>
      </c>
      <c r="AV650">
        <f t="shared" ref="AV650:AV676" si="580">ATAN2(AT650,AU650)</f>
        <v>-2.267848431673797</v>
      </c>
      <c r="AW650">
        <f t="shared" ref="AW650:AW676" si="581">AG650-AH650*AO650/_Rfb2+AG650*AN650/_Rfb2+AN650-AO650*AR650+AQ650*AN650</f>
        <v>25498.740925030121</v>
      </c>
      <c r="AX650">
        <f t="shared" ref="AX650:AX676" si="582">AH650+AH650*AN650/_Rfb2+AG650*AO650/_Rfb2+AO650+AO650*AQ650+AN650*AR650</f>
        <v>-20971.906936450392</v>
      </c>
      <c r="AY650">
        <f t="shared" si="521"/>
        <v>-0.68829178709647609</v>
      </c>
      <c r="BA650">
        <f t="shared" si="572"/>
        <v>0.28243511340467609</v>
      </c>
      <c r="BB650">
        <f t="shared" ref="BB650:BB676" si="583">20*LOG(BA650)</f>
        <v>-10.981626222524298</v>
      </c>
      <c r="BC650">
        <f t="shared" ref="BC650:BC676" si="584">AV650-AY650</f>
        <v>-1.579556644577321</v>
      </c>
      <c r="BD650">
        <f t="shared" si="573"/>
        <v>-270.50192933953986</v>
      </c>
      <c r="BF650">
        <f t="shared" si="574"/>
        <v>-74.831466614093344</v>
      </c>
      <c r="BG650">
        <f t="shared" si="575"/>
        <v>-180.61921279110823</v>
      </c>
      <c r="BH650">
        <f t="shared" ref="BH650:BH676" si="585">IF(BG650&gt;180,BG650-180,BG650+180)</f>
        <v>-0.61921279110822525</v>
      </c>
      <c r="BI650">
        <f t="shared" ref="BI650:BI676" si="586">IF(BH650&gt;180,BH650-360,BH650)</f>
        <v>-0.61921279110822525</v>
      </c>
      <c r="BJ650">
        <f t="shared" si="576"/>
        <v>0</v>
      </c>
      <c r="BK650">
        <f t="shared" ref="BK650:BK676" si="587">IF(BJ650&gt;0,BI650,0)</f>
        <v>0</v>
      </c>
      <c r="BM650">
        <f t="shared" ref="BM650:BM676" si="588">20*LOG(J650*F650*C650)</f>
        <v>-63.849840391569039</v>
      </c>
      <c r="BN650">
        <f t="shared" si="577"/>
        <v>-90.117283451568412</v>
      </c>
      <c r="BQ650" s="66">
        <f t="shared" ref="BQ650:BQ676" si="589">20*LOG(BA650*7)</f>
        <v>5.9203345777608369</v>
      </c>
    </row>
    <row r="651" spans="1:69" x14ac:dyDescent="0.2">
      <c r="A651">
        <f t="shared" si="563"/>
        <v>7500000</v>
      </c>
      <c r="B651">
        <f t="shared" si="578"/>
        <v>7500</v>
      </c>
      <c r="C651">
        <f t="shared" si="539"/>
        <v>466.5275802742288</v>
      </c>
      <c r="D651">
        <f t="shared" si="540"/>
        <v>1.568652829158216</v>
      </c>
      <c r="F651">
        <f t="shared" si="541"/>
        <v>9.0512763752677168E-8</v>
      </c>
      <c r="G651">
        <f t="shared" si="542"/>
        <v>1.2380648894325219E-4</v>
      </c>
      <c r="H651">
        <f t="shared" si="564"/>
        <v>-3.1414688435110572</v>
      </c>
      <c r="J651">
        <f t="shared" si="565"/>
        <v>15</v>
      </c>
      <c r="M651">
        <f t="shared" si="543"/>
        <v>4.4979988772664205E-4</v>
      </c>
      <c r="N651">
        <f t="shared" si="566"/>
        <v>-1.5707963250000001</v>
      </c>
      <c r="O651">
        <f t="shared" si="544"/>
        <v>2222.3628655957723</v>
      </c>
      <c r="P651">
        <f t="shared" si="567"/>
        <v>1.5703463552581927</v>
      </c>
      <c r="Q651">
        <f t="shared" si="545"/>
        <v>3079.0751186514294</v>
      </c>
      <c r="R651">
        <f t="shared" si="568"/>
        <v>1.5704715539397227</v>
      </c>
      <c r="S651">
        <f t="shared" si="546"/>
        <v>3.5724787352353106E-3</v>
      </c>
      <c r="T651">
        <f t="shared" si="569"/>
        <v>-1.5672238404605956</v>
      </c>
      <c r="U651">
        <f t="shared" si="547"/>
        <v>0.76272675167789428</v>
      </c>
      <c r="V651">
        <f t="shared" si="570"/>
        <v>-0.70327735766770405</v>
      </c>
      <c r="X651">
        <f t="shared" si="548"/>
        <v>-45.494567227350643</v>
      </c>
      <c r="Y651">
        <f t="shared" si="549"/>
        <v>-130.25024523500224</v>
      </c>
      <c r="Z651">
        <f t="shared" si="579"/>
        <v>49.749754764997761</v>
      </c>
      <c r="AC651">
        <v>1</v>
      </c>
      <c r="AD651">
        <f t="shared" si="550"/>
        <v>2222.3626406100007</v>
      </c>
      <c r="AE651">
        <f t="shared" si="551"/>
        <v>-0.1047263720606245</v>
      </c>
      <c r="AF651">
        <f t="shared" si="552"/>
        <v>0.12351171503474999</v>
      </c>
      <c r="AG651">
        <f t="shared" si="553"/>
        <v>10463.548792904417</v>
      </c>
      <c r="AH651">
        <f t="shared" si="554"/>
        <v>-8880.2062512986668</v>
      </c>
      <c r="AJ651">
        <f t="shared" si="571"/>
        <v>18000</v>
      </c>
      <c r="AK651">
        <f t="shared" si="555"/>
        <v>5038486.2920699995</v>
      </c>
      <c r="AL651">
        <v>26</v>
      </c>
      <c r="AM651">
        <f t="shared" si="556"/>
        <v>3079.0749562649999</v>
      </c>
      <c r="AN651">
        <f t="shared" si="557"/>
        <v>1636.2963273945477</v>
      </c>
      <c r="AO651">
        <f t="shared" si="558"/>
        <v>7.9711292712504829</v>
      </c>
      <c r="AQ651">
        <f t="shared" si="559"/>
        <v>4.4444444246913578E-5</v>
      </c>
      <c r="AR651">
        <f t="shared" si="560"/>
        <v>-0.66666666370370375</v>
      </c>
      <c r="AT651">
        <f t="shared" si="561"/>
        <v>-5919.6724279431046</v>
      </c>
      <c r="AU651">
        <f t="shared" si="562"/>
        <v>-6976.0938400981413</v>
      </c>
      <c r="AV651">
        <f t="shared" si="580"/>
        <v>-2.2744569893327364</v>
      </c>
      <c r="AW651">
        <f t="shared" si="581"/>
        <v>25238.202004806779</v>
      </c>
      <c r="AX651">
        <f t="shared" si="582"/>
        <v>-20999.187059632266</v>
      </c>
      <c r="AY651">
        <f t="shared" ref="AY651:AY676" si="590">ATAN2(AW651,AX651)</f>
        <v>-0.6939743588111521</v>
      </c>
      <c r="BA651">
        <f t="shared" si="572"/>
        <v>0.27866903615351818</v>
      </c>
      <c r="BB651">
        <f t="shared" si="583"/>
        <v>-11.098225690300271</v>
      </c>
      <c r="BC651">
        <f t="shared" si="584"/>
        <v>-1.5804826305215842</v>
      </c>
      <c r="BD651">
        <f t="shared" si="573"/>
        <v>-270.55498442609519</v>
      </c>
      <c r="BF651">
        <f t="shared" si="574"/>
        <v>-75.06465751778633</v>
      </c>
      <c r="BG651">
        <f t="shared" si="575"/>
        <v>-180.6707041020727</v>
      </c>
      <c r="BH651">
        <f t="shared" si="585"/>
        <v>-0.6707041020727047</v>
      </c>
      <c r="BI651">
        <f t="shared" si="586"/>
        <v>-0.6707041020727047</v>
      </c>
      <c r="BJ651">
        <f t="shared" si="576"/>
        <v>0</v>
      </c>
      <c r="BK651">
        <f t="shared" si="587"/>
        <v>0</v>
      </c>
      <c r="BM651">
        <f t="shared" si="588"/>
        <v>-63.966431827486055</v>
      </c>
      <c r="BN651">
        <f t="shared" si="577"/>
        <v>-90.115719675977516</v>
      </c>
      <c r="BQ651" s="66">
        <f t="shared" si="589"/>
        <v>5.8037351099848644</v>
      </c>
    </row>
    <row r="652" spans="1:69" x14ac:dyDescent="0.2">
      <c r="A652">
        <f t="shared" si="563"/>
        <v>7600000</v>
      </c>
      <c r="B652">
        <f t="shared" si="578"/>
        <v>7600</v>
      </c>
      <c r="C652">
        <f t="shared" si="539"/>
        <v>472.74791961929702</v>
      </c>
      <c r="D652">
        <f t="shared" si="540"/>
        <v>1.5686810329897958</v>
      </c>
      <c r="F652">
        <f t="shared" si="541"/>
        <v>8.8146519216736875E-8</v>
      </c>
      <c r="G652">
        <f t="shared" si="542"/>
        <v>1.2217745591876656E-4</v>
      </c>
      <c r="H652">
        <f t="shared" si="564"/>
        <v>-3.1414704725440816</v>
      </c>
      <c r="J652">
        <f t="shared" si="565"/>
        <v>15</v>
      </c>
      <c r="M652">
        <f t="shared" si="543"/>
        <v>4.4388146815129147E-4</v>
      </c>
      <c r="N652">
        <f t="shared" si="566"/>
        <v>-1.5707963250000001</v>
      </c>
      <c r="O652">
        <f t="shared" si="544"/>
        <v>2251.9943645102335</v>
      </c>
      <c r="P652">
        <f t="shared" si="567"/>
        <v>1.5703522759355237</v>
      </c>
      <c r="Q652">
        <f t="shared" si="545"/>
        <v>3120.1294492649658</v>
      </c>
      <c r="R652">
        <f t="shared" si="568"/>
        <v>1.5704758272664698</v>
      </c>
      <c r="S652">
        <f t="shared" si="546"/>
        <v>3.5254730242217716E-3</v>
      </c>
      <c r="T652">
        <f t="shared" si="569"/>
        <v>-1.5672708464676401</v>
      </c>
      <c r="U652">
        <f t="shared" si="547"/>
        <v>0.75848066566870997</v>
      </c>
      <c r="V652">
        <f t="shared" si="570"/>
        <v>-0.70981774145519816</v>
      </c>
      <c r="X652">
        <f t="shared" si="548"/>
        <v>-45.658102217044686</v>
      </c>
      <c r="Y652">
        <f t="shared" si="549"/>
        <v>-130.62556817145708</v>
      </c>
      <c r="Z652">
        <f t="shared" si="579"/>
        <v>49.374431828542924</v>
      </c>
      <c r="AC652">
        <v>1</v>
      </c>
      <c r="AD652">
        <f t="shared" si="550"/>
        <v>2251.9941424848002</v>
      </c>
      <c r="AE652">
        <f t="shared" si="551"/>
        <v>-0.10753769333727416</v>
      </c>
      <c r="AF652">
        <f t="shared" si="552"/>
        <v>0.12515853790188</v>
      </c>
      <c r="AG652">
        <f t="shared" si="553"/>
        <v>10347.372298602178</v>
      </c>
      <c r="AH652">
        <f t="shared" si="554"/>
        <v>-8898.5743023525483</v>
      </c>
      <c r="AJ652">
        <f t="shared" si="571"/>
        <v>18000</v>
      </c>
      <c r="AK652">
        <f t="shared" si="555"/>
        <v>5105666.1092975996</v>
      </c>
      <c r="AL652">
        <v>27</v>
      </c>
      <c r="AM652">
        <f t="shared" si="556"/>
        <v>3120.1292890151999</v>
      </c>
      <c r="AN652">
        <f t="shared" si="557"/>
        <v>1636.2910281309128</v>
      </c>
      <c r="AO652">
        <f t="shared" si="558"/>
        <v>8.3906323535066534</v>
      </c>
      <c r="AQ652">
        <f t="shared" si="559"/>
        <v>4.3282548289116396E-5</v>
      </c>
      <c r="AR652">
        <f t="shared" si="560"/>
        <v>-0.65789473399456921</v>
      </c>
      <c r="AT652">
        <f t="shared" si="561"/>
        <v>-5853.8773129359597</v>
      </c>
      <c r="AU652">
        <f t="shared" si="562"/>
        <v>-6807.8668989036005</v>
      </c>
      <c r="AV652">
        <f t="shared" si="580"/>
        <v>-2.2809923296358781</v>
      </c>
      <c r="AW652">
        <f t="shared" si="581"/>
        <v>24979.931270899295</v>
      </c>
      <c r="AX652">
        <f t="shared" si="582"/>
        <v>-21023.093284635335</v>
      </c>
      <c r="AY652">
        <f t="shared" si="590"/>
        <v>-0.69959677672647558</v>
      </c>
      <c r="BA652">
        <f t="shared" si="572"/>
        <v>0.27500195358445095</v>
      </c>
      <c r="BB652">
        <f t="shared" si="583"/>
        <v>-11.213284419545047</v>
      </c>
      <c r="BC652">
        <f t="shared" si="584"/>
        <v>-1.5813955529094024</v>
      </c>
      <c r="BD652">
        <f t="shared" si="573"/>
        <v>-270.60729102599993</v>
      </c>
      <c r="BF652">
        <f t="shared" si="574"/>
        <v>-75.294763365450052</v>
      </c>
      <c r="BG652">
        <f t="shared" si="575"/>
        <v>-180.72148807817709</v>
      </c>
      <c r="BH652">
        <f t="shared" si="585"/>
        <v>-0.72148807817708871</v>
      </c>
      <c r="BI652">
        <f t="shared" si="586"/>
        <v>-0.72148807817708871</v>
      </c>
      <c r="BJ652">
        <f t="shared" si="576"/>
        <v>0</v>
      </c>
      <c r="BK652">
        <f t="shared" si="587"/>
        <v>0</v>
      </c>
      <c r="BM652">
        <f t="shared" si="588"/>
        <v>-64.081478945905005</v>
      </c>
      <c r="BN652">
        <f t="shared" si="577"/>
        <v>-90.114197052177175</v>
      </c>
      <c r="BQ652" s="66">
        <f t="shared" si="589"/>
        <v>5.6886763807400911</v>
      </c>
    </row>
    <row r="653" spans="1:69" x14ac:dyDescent="0.2">
      <c r="A653">
        <f t="shared" si="563"/>
        <v>7700000</v>
      </c>
      <c r="B653">
        <f t="shared" si="578"/>
        <v>7700</v>
      </c>
      <c r="C653">
        <f t="shared" si="539"/>
        <v>478.96825933064792</v>
      </c>
      <c r="D653">
        <f t="shared" si="540"/>
        <v>1.568708504257557</v>
      </c>
      <c r="F653">
        <f t="shared" si="541"/>
        <v>8.5871866069491344E-8</v>
      </c>
      <c r="G653">
        <f t="shared" si="542"/>
        <v>1.2059073545088663E-4</v>
      </c>
      <c r="H653">
        <f t="shared" si="564"/>
        <v>-3.1414720592645495</v>
      </c>
      <c r="J653">
        <f t="shared" si="565"/>
        <v>15</v>
      </c>
      <c r="M653">
        <f t="shared" si="543"/>
        <v>4.381167737597163E-4</v>
      </c>
      <c r="N653">
        <f t="shared" si="566"/>
        <v>-1.5707963250000001</v>
      </c>
      <c r="O653">
        <f t="shared" si="544"/>
        <v>2281.6258635015865</v>
      </c>
      <c r="P653">
        <f t="shared" si="567"/>
        <v>1.570358042829058</v>
      </c>
      <c r="Q653">
        <f t="shared" si="545"/>
        <v>3161.1837799339996</v>
      </c>
      <c r="R653">
        <f t="shared" si="568"/>
        <v>1.5704799895977284</v>
      </c>
      <c r="S653">
        <f t="shared" si="546"/>
        <v>3.4796882182977517E-3</v>
      </c>
      <c r="T653">
        <f t="shared" si="569"/>
        <v>-1.5673166315544163</v>
      </c>
      <c r="U653">
        <f t="shared" si="547"/>
        <v>0.75424986410439498</v>
      </c>
      <c r="V653">
        <f t="shared" si="570"/>
        <v>-0.71628543489145347</v>
      </c>
      <c r="X653">
        <f t="shared" si="548"/>
        <v>-45.820229517695488</v>
      </c>
      <c r="Y653">
        <f t="shared" si="549"/>
        <v>-130.99671102321096</v>
      </c>
      <c r="Z653">
        <f t="shared" si="579"/>
        <v>49.003288976789037</v>
      </c>
      <c r="AC653">
        <v>1</v>
      </c>
      <c r="AD653">
        <f t="shared" si="550"/>
        <v>2281.6256443596003</v>
      </c>
      <c r="AE653">
        <f t="shared" si="551"/>
        <v>-0.11038625065732316</v>
      </c>
      <c r="AF653">
        <f t="shared" si="552"/>
        <v>0.12680536076901</v>
      </c>
      <c r="AG653">
        <f t="shared" si="553"/>
        <v>10232.259059621769</v>
      </c>
      <c r="AH653">
        <f t="shared" si="554"/>
        <v>-8915.2438547563179</v>
      </c>
      <c r="AJ653">
        <f t="shared" si="571"/>
        <v>18000</v>
      </c>
      <c r="AK653">
        <f t="shared" si="555"/>
        <v>5172845.9265251998</v>
      </c>
      <c r="AL653">
        <v>28</v>
      </c>
      <c r="AM653">
        <f t="shared" si="556"/>
        <v>3161.1836217653999</v>
      </c>
      <c r="AN653">
        <f t="shared" si="557"/>
        <v>1636.2856976460828</v>
      </c>
      <c r="AO653">
        <f t="shared" si="558"/>
        <v>8.7992356225596779</v>
      </c>
      <c r="AQ653">
        <f t="shared" si="559"/>
        <v>4.2165626403416991E-5</v>
      </c>
      <c r="AR653">
        <f t="shared" si="560"/>
        <v>-0.64935064661262165</v>
      </c>
      <c r="AT653">
        <f t="shared" si="561"/>
        <v>-5788.6879121824459</v>
      </c>
      <c r="AU653">
        <f t="shared" si="562"/>
        <v>-6644.6999535149271</v>
      </c>
      <c r="AV653">
        <f t="shared" si="580"/>
        <v>-2.2874551105873446</v>
      </c>
      <c r="AW653">
        <f t="shared" si="581"/>
        <v>24723.967217799058</v>
      </c>
      <c r="AX653">
        <f t="shared" si="582"/>
        <v>-21043.713915142267</v>
      </c>
      <c r="AY653">
        <f t="shared" si="590"/>
        <v>-0.70515919046144837</v>
      </c>
      <c r="BA653">
        <f t="shared" si="572"/>
        <v>0.27143001118280718</v>
      </c>
      <c r="BB653">
        <f t="shared" si="583"/>
        <v>-11.326842708285074</v>
      </c>
      <c r="BC653">
        <f t="shared" si="584"/>
        <v>-1.5822959201258961</v>
      </c>
      <c r="BD653">
        <f t="shared" si="573"/>
        <v>-270.65887826757591</v>
      </c>
      <c r="BF653">
        <f t="shared" si="574"/>
        <v>-75.521864831734376</v>
      </c>
      <c r="BG653">
        <f t="shared" si="575"/>
        <v>-180.77159224443687</v>
      </c>
      <c r="BH653">
        <f t="shared" si="585"/>
        <v>-0.77159224443687435</v>
      </c>
      <c r="BI653">
        <f t="shared" si="586"/>
        <v>-0.77159224443687435</v>
      </c>
      <c r="BJ653">
        <f t="shared" si="576"/>
        <v>0</v>
      </c>
      <c r="BK653">
        <f t="shared" si="587"/>
        <v>0</v>
      </c>
      <c r="BM653">
        <f t="shared" si="588"/>
        <v>-64.195022123449291</v>
      </c>
      <c r="BN653">
        <f t="shared" si="577"/>
        <v>-90.11271397686096</v>
      </c>
      <c r="BQ653" s="66">
        <f t="shared" si="589"/>
        <v>5.5751180920000607</v>
      </c>
    </row>
    <row r="654" spans="1:69" x14ac:dyDescent="0.2">
      <c r="A654">
        <f t="shared" si="563"/>
        <v>7800000</v>
      </c>
      <c r="B654">
        <f t="shared" si="578"/>
        <v>7800</v>
      </c>
      <c r="C654">
        <f t="shared" si="539"/>
        <v>485.18859939419389</v>
      </c>
      <c r="D654">
        <f t="shared" si="540"/>
        <v>1.5687352711368685</v>
      </c>
      <c r="F654">
        <f t="shared" si="541"/>
        <v>8.3684137557041468E-8</v>
      </c>
      <c r="G654">
        <f t="shared" si="542"/>
        <v>1.1904470013306026E-4</v>
      </c>
      <c r="H654">
        <f t="shared" si="564"/>
        <v>-3.1414736052998671</v>
      </c>
      <c r="J654">
        <f t="shared" si="565"/>
        <v>15</v>
      </c>
      <c r="M654">
        <f t="shared" si="543"/>
        <v>4.3249989204484807E-4</v>
      </c>
      <c r="N654">
        <f t="shared" si="566"/>
        <v>-1.5707963250000001</v>
      </c>
      <c r="O654">
        <f t="shared" si="544"/>
        <v>2311.2573625668747</v>
      </c>
      <c r="P654">
        <f t="shared" si="567"/>
        <v>1.5703636618535552</v>
      </c>
      <c r="Q654">
        <f t="shared" si="545"/>
        <v>3202.2381106563976</v>
      </c>
      <c r="R654">
        <f t="shared" si="568"/>
        <v>1.5704840452025548</v>
      </c>
      <c r="S654">
        <f t="shared" si="546"/>
        <v>3.4350773607053492E-3</v>
      </c>
      <c r="T654">
        <f t="shared" si="569"/>
        <v>-1.5673612426786427</v>
      </c>
      <c r="U654">
        <f t="shared" si="547"/>
        <v>0.75003514566802942</v>
      </c>
      <c r="V654">
        <f t="shared" si="570"/>
        <v>-0.72268111095702103</v>
      </c>
      <c r="X654">
        <f t="shared" si="548"/>
        <v>-45.980978785685252</v>
      </c>
      <c r="Y654">
        <f t="shared" si="549"/>
        <v>-131.36371293511252</v>
      </c>
      <c r="Z654">
        <f t="shared" si="579"/>
        <v>48.636287064887483</v>
      </c>
      <c r="AC654">
        <v>1</v>
      </c>
      <c r="AD654">
        <f t="shared" si="550"/>
        <v>2311.2571462344004</v>
      </c>
      <c r="AE654">
        <f t="shared" si="551"/>
        <v>-0.11327204402077148</v>
      </c>
      <c r="AF654">
        <f t="shared" si="552"/>
        <v>0.12845218363614</v>
      </c>
      <c r="AG654">
        <f t="shared" si="553"/>
        <v>10118.223646411843</v>
      </c>
      <c r="AH654">
        <f t="shared" si="554"/>
        <v>-8930.2637122755295</v>
      </c>
      <c r="AJ654">
        <f t="shared" si="571"/>
        <v>18000</v>
      </c>
      <c r="AK654">
        <f t="shared" si="555"/>
        <v>5240025.7437527999</v>
      </c>
      <c r="AL654">
        <v>29</v>
      </c>
      <c r="AM654">
        <f t="shared" si="556"/>
        <v>3202.2379545156</v>
      </c>
      <c r="AN654">
        <f t="shared" si="557"/>
        <v>1636.2803435553883</v>
      </c>
      <c r="AO654">
        <f t="shared" si="558"/>
        <v>9.1973583417105758</v>
      </c>
      <c r="AQ654">
        <f t="shared" si="559"/>
        <v>4.109138707638319E-5</v>
      </c>
      <c r="AR654">
        <f t="shared" si="560"/>
        <v>-0.64102563839157778</v>
      </c>
      <c r="AT654">
        <f t="shared" si="561"/>
        <v>-5724.112225322182</v>
      </c>
      <c r="AU654">
        <f t="shared" si="562"/>
        <v>-6486.4077292528045</v>
      </c>
      <c r="AV654">
        <f t="shared" si="580"/>
        <v>-2.2938460001292444</v>
      </c>
      <c r="AW654">
        <f t="shared" si="581"/>
        <v>24470.34462904431</v>
      </c>
      <c r="AX654">
        <f t="shared" si="582"/>
        <v>-21061.136857785736</v>
      </c>
      <c r="AY654">
        <f t="shared" si="590"/>
        <v>-0.71066178564495597</v>
      </c>
      <c r="BA654">
        <f t="shared" si="572"/>
        <v>0.26794955197715725</v>
      </c>
      <c r="BB654">
        <f t="shared" si="583"/>
        <v>-11.438939295565515</v>
      </c>
      <c r="BC654">
        <f t="shared" si="584"/>
        <v>-1.5831842144842885</v>
      </c>
      <c r="BD654">
        <f t="shared" si="573"/>
        <v>-270.70977378533524</v>
      </c>
      <c r="BF654">
        <f t="shared" si="574"/>
        <v>-75.746039469224854</v>
      </c>
      <c r="BG654">
        <f t="shared" si="575"/>
        <v>-180.82104271427792</v>
      </c>
      <c r="BH654">
        <f t="shared" si="585"/>
        <v>-0.82104271427792241</v>
      </c>
      <c r="BI654">
        <f t="shared" si="586"/>
        <v>-0.82104271427792241</v>
      </c>
      <c r="BJ654">
        <f t="shared" si="576"/>
        <v>0</v>
      </c>
      <c r="BK654">
        <f t="shared" si="587"/>
        <v>0</v>
      </c>
      <c r="BM654">
        <f t="shared" si="588"/>
        <v>-64.30710017365935</v>
      </c>
      <c r="BN654">
        <f t="shared" si="577"/>
        <v>-90.111268928942692</v>
      </c>
      <c r="BQ654" s="66">
        <f t="shared" si="589"/>
        <v>5.4630215047196193</v>
      </c>
    </row>
    <row r="655" spans="1:69" x14ac:dyDescent="0.2">
      <c r="A655">
        <f t="shared" si="563"/>
        <v>7900000</v>
      </c>
      <c r="B655">
        <f t="shared" si="578"/>
        <v>7900</v>
      </c>
      <c r="C655">
        <f t="shared" si="539"/>
        <v>491.40893979656039</v>
      </c>
      <c r="D655">
        <f t="shared" si="540"/>
        <v>1.5687613603765085</v>
      </c>
      <c r="F655">
        <f t="shared" si="541"/>
        <v>8.1578960408090593E-8</v>
      </c>
      <c r="G655">
        <f t="shared" si="542"/>
        <v>1.1753780495909986E-4</v>
      </c>
      <c r="H655">
        <f t="shared" si="564"/>
        <v>-3.1414751121950411</v>
      </c>
      <c r="J655">
        <f t="shared" si="565"/>
        <v>15</v>
      </c>
      <c r="M655">
        <f t="shared" si="543"/>
        <v>4.2702520986706523E-4</v>
      </c>
      <c r="N655">
        <f t="shared" si="566"/>
        <v>-1.5707963250000001</v>
      </c>
      <c r="O655">
        <f t="shared" si="544"/>
        <v>2340.888861703289</v>
      </c>
      <c r="P655">
        <f t="shared" si="567"/>
        <v>1.5703691386242939</v>
      </c>
      <c r="Q655">
        <f t="shared" si="545"/>
        <v>3243.2924414301319</v>
      </c>
      <c r="R655">
        <f t="shared" si="568"/>
        <v>1.5704879981338513</v>
      </c>
      <c r="S655">
        <f t="shared" si="546"/>
        <v>3.3915958721738525E-3</v>
      </c>
      <c r="T655">
        <f t="shared" si="569"/>
        <v>-1.5674047244204783</v>
      </c>
      <c r="U655">
        <f t="shared" si="547"/>
        <v>0.74583726802951944</v>
      </c>
      <c r="V655">
        <f t="shared" si="570"/>
        <v>-0.72900545129775207</v>
      </c>
      <c r="X655">
        <f t="shared" si="548"/>
        <v>-46.140378459187268</v>
      </c>
      <c r="Y655">
        <f t="shared" si="549"/>
        <v>-131.72661351883136</v>
      </c>
      <c r="Z655">
        <f t="shared" si="579"/>
        <v>48.273386481168643</v>
      </c>
      <c r="AC655">
        <v>1</v>
      </c>
      <c r="AD655">
        <f t="shared" si="550"/>
        <v>2340.8886481092004</v>
      </c>
      <c r="AE655">
        <f t="shared" si="551"/>
        <v>-0.11619507342761916</v>
      </c>
      <c r="AF655">
        <f t="shared" si="552"/>
        <v>0.13009900650327</v>
      </c>
      <c r="AG655">
        <f t="shared" si="553"/>
        <v>10005.279071698671</v>
      </c>
      <c r="AH655">
        <f t="shared" si="554"/>
        <v>-8943.6819517188451</v>
      </c>
      <c r="AJ655">
        <f t="shared" si="571"/>
        <v>18000</v>
      </c>
      <c r="AK655">
        <f t="shared" si="555"/>
        <v>5307205.5609804001</v>
      </c>
      <c r="AL655">
        <v>30</v>
      </c>
      <c r="AM655">
        <f t="shared" si="556"/>
        <v>3243.2922872657996</v>
      </c>
      <c r="AN655">
        <f t="shared" si="557"/>
        <v>1636.2749727678249</v>
      </c>
      <c r="AO655">
        <f t="shared" si="558"/>
        <v>9.5853985485974036</v>
      </c>
      <c r="AQ655">
        <f t="shared" si="559"/>
        <v>4.0057682903149807E-5</v>
      </c>
      <c r="AR655">
        <f t="shared" si="560"/>
        <v>-0.63291138986976692</v>
      </c>
      <c r="AT655">
        <f t="shared" si="561"/>
        <v>-5660.1573863191124</v>
      </c>
      <c r="AU655">
        <f t="shared" si="562"/>
        <v>-6332.8133464793063</v>
      </c>
      <c r="AV655">
        <f t="shared" si="580"/>
        <v>-2.3001656751240951</v>
      </c>
      <c r="AW655">
        <f t="shared" si="581"/>
        <v>24219.094732653826</v>
      </c>
      <c r="AX655">
        <f t="shared" si="582"/>
        <v>-21075.449479446332</v>
      </c>
      <c r="AY655">
        <f t="shared" si="590"/>
        <v>-0.71610478124862886</v>
      </c>
      <c r="BA655">
        <f t="shared" si="572"/>
        <v>0.26455710404445487</v>
      </c>
      <c r="BB655">
        <f t="shared" si="583"/>
        <v>-11.549611440840557</v>
      </c>
      <c r="BC655">
        <f t="shared" si="584"/>
        <v>-1.5840608938754661</v>
      </c>
      <c r="BD655">
        <f t="shared" si="573"/>
        <v>-270.76000381449325</v>
      </c>
      <c r="BF655">
        <f t="shared" si="574"/>
        <v>-75.967361867488009</v>
      </c>
      <c r="BG655">
        <f t="shared" si="575"/>
        <v>-180.86986427884585</v>
      </c>
      <c r="BH655">
        <f t="shared" si="585"/>
        <v>-0.86986427884585282</v>
      </c>
      <c r="BI655">
        <f t="shared" si="586"/>
        <v>-0.86986427884585282</v>
      </c>
      <c r="BJ655">
        <f t="shared" si="576"/>
        <v>0</v>
      </c>
      <c r="BK655">
        <f t="shared" si="587"/>
        <v>0</v>
      </c>
      <c r="BM655">
        <f t="shared" si="588"/>
        <v>-64.417750426647444</v>
      </c>
      <c r="BN655">
        <f t="shared" si="577"/>
        <v>-90.109860464352636</v>
      </c>
      <c r="BQ655" s="66">
        <f t="shared" si="589"/>
        <v>5.3523493594445801</v>
      </c>
    </row>
    <row r="656" spans="1:69" x14ac:dyDescent="0.2">
      <c r="A656">
        <f t="shared" si="563"/>
        <v>8000000</v>
      </c>
      <c r="B656">
        <f t="shared" si="578"/>
        <v>8000</v>
      </c>
      <c r="C656">
        <f t="shared" si="539"/>
        <v>497.62928052504179</v>
      </c>
      <c r="D656">
        <f t="shared" si="540"/>
        <v>1.5687867973878249</v>
      </c>
      <c r="F656">
        <f t="shared" si="541"/>
        <v>7.9552232961506966E-8</v>
      </c>
      <c r="G656">
        <f t="shared" si="542"/>
        <v>1.1606858217315712E-4</v>
      </c>
      <c r="H656">
        <f t="shared" si="564"/>
        <v>-3.1414765814178272</v>
      </c>
      <c r="J656">
        <f t="shared" si="565"/>
        <v>15</v>
      </c>
      <c r="M656">
        <f t="shared" si="543"/>
        <v>4.2168739474372687E-4</v>
      </c>
      <c r="N656">
        <f t="shared" si="566"/>
        <v>-1.5707963250000001</v>
      </c>
      <c r="O656">
        <f t="shared" si="544"/>
        <v>2370.5203609081632</v>
      </c>
      <c r="P656">
        <f t="shared" si="567"/>
        <v>1.5703744784757891</v>
      </c>
      <c r="Q656">
        <f t="shared" si="545"/>
        <v>3284.3467722532778</v>
      </c>
      <c r="R656">
        <f t="shared" si="568"/>
        <v>1.5704918522418747</v>
      </c>
      <c r="S656">
        <f t="shared" si="546"/>
        <v>3.3492014023319559E-3</v>
      </c>
      <c r="T656">
        <f t="shared" si="569"/>
        <v>-1.5674471191311172</v>
      </c>
      <c r="U656">
        <f t="shared" si="547"/>
        <v>0.74165694900771195</v>
      </c>
      <c r="V656">
        <f t="shared" si="570"/>
        <v>-0.73525914526666292</v>
      </c>
      <c r="X656">
        <f t="shared" si="548"/>
        <v>-46.298455828721472</v>
      </c>
      <c r="Y656">
        <f t="shared" si="549"/>
        <v>-132.08545279981519</v>
      </c>
      <c r="Z656">
        <f t="shared" si="579"/>
        <v>47.914547200184813</v>
      </c>
      <c r="AC656">
        <v>1</v>
      </c>
      <c r="AD656">
        <f t="shared" si="550"/>
        <v>2370.5201499840005</v>
      </c>
      <c r="AE656">
        <f t="shared" si="551"/>
        <v>-0.11915533887786614</v>
      </c>
      <c r="AF656">
        <f t="shared" si="552"/>
        <v>0.13174582937040002</v>
      </c>
      <c r="AG656">
        <f t="shared" si="553"/>
        <v>9893.4368570625484</v>
      </c>
      <c r="AH656">
        <f t="shared" si="554"/>
        <v>-8955.5458947616808</v>
      </c>
      <c r="AJ656">
        <f t="shared" si="571"/>
        <v>18000</v>
      </c>
      <c r="AK656">
        <f t="shared" si="555"/>
        <v>5374385.3782079993</v>
      </c>
      <c r="AL656">
        <v>31</v>
      </c>
      <c r="AM656">
        <f t="shared" si="556"/>
        <v>3284.3466200159996</v>
      </c>
      <c r="AN656">
        <f t="shared" si="557"/>
        <v>1636.2695915499928</v>
      </c>
      <c r="AO656">
        <f t="shared" si="558"/>
        <v>9.9637343813273738</v>
      </c>
      <c r="AQ656">
        <f t="shared" si="559"/>
        <v>3.9062499847412111E-5</v>
      </c>
      <c r="AR656">
        <f t="shared" si="560"/>
        <v>-0.62499999755859381</v>
      </c>
      <c r="AT656">
        <f t="shared" si="561"/>
        <v>-5596.8296999862059</v>
      </c>
      <c r="AU656">
        <f t="shared" si="562"/>
        <v>-6183.7478375203427</v>
      </c>
      <c r="AV656">
        <f t="shared" si="580"/>
        <v>-2.3064148203807484</v>
      </c>
      <c r="AW656">
        <f t="shared" si="581"/>
        <v>23970.245353685848</v>
      </c>
      <c r="AX656">
        <f t="shared" si="582"/>
        <v>-21086.738477870495</v>
      </c>
      <c r="AY656">
        <f t="shared" si="590"/>
        <v>-0.72148842708687499</v>
      </c>
      <c r="BA656">
        <f t="shared" si="572"/>
        <v>0.26124936895170398</v>
      </c>
      <c r="BB656">
        <f t="shared" si="583"/>
        <v>-11.658894998373679</v>
      </c>
      <c r="BC656">
        <f t="shared" si="584"/>
        <v>-1.5849263932938733</v>
      </c>
      <c r="BD656">
        <f t="shared" si="573"/>
        <v>-270.80959327839565</v>
      </c>
      <c r="BF656">
        <f t="shared" si="574"/>
        <v>-76.185903802115973</v>
      </c>
      <c r="BG656">
        <f t="shared" si="575"/>
        <v>-180.91808048961965</v>
      </c>
      <c r="BH656">
        <f t="shared" si="585"/>
        <v>-0.91808048961965483</v>
      </c>
      <c r="BI656">
        <f t="shared" si="586"/>
        <v>-0.91808048961965483</v>
      </c>
      <c r="BJ656">
        <f t="shared" si="576"/>
        <v>0</v>
      </c>
      <c r="BK656">
        <f t="shared" si="587"/>
        <v>0</v>
      </c>
      <c r="BM656">
        <f t="shared" si="588"/>
        <v>-64.527008803742291</v>
      </c>
      <c r="BN656">
        <f t="shared" si="577"/>
        <v>-90.108487211224016</v>
      </c>
      <c r="BQ656" s="66">
        <f t="shared" si="589"/>
        <v>5.2430658019114587</v>
      </c>
    </row>
    <row r="657" spans="1:69" x14ac:dyDescent="0.2">
      <c r="A657">
        <f t="shared" si="563"/>
        <v>8100000</v>
      </c>
      <c r="B657">
        <f t="shared" si="578"/>
        <v>8100</v>
      </c>
      <c r="C657">
        <f t="shared" si="539"/>
        <v>503.84962156755967</v>
      </c>
      <c r="D657">
        <f t="shared" si="540"/>
        <v>1.568811606327293</v>
      </c>
      <c r="F657">
        <f t="shared" si="541"/>
        <v>7.7600105172303433E-8</v>
      </c>
      <c r="G657">
        <f t="shared" si="542"/>
        <v>1.1463563650118167E-4</v>
      </c>
      <c r="H657">
        <f t="shared" si="564"/>
        <v>-3.141478014363499</v>
      </c>
      <c r="J657">
        <f t="shared" si="565"/>
        <v>15</v>
      </c>
      <c r="M657">
        <f t="shared" si="543"/>
        <v>4.1648137752466855E-4</v>
      </c>
      <c r="N657">
        <f t="shared" si="566"/>
        <v>-1.5707963250000001</v>
      </c>
      <c r="O657">
        <f t="shared" si="544"/>
        <v>2400.1518601789617</v>
      </c>
      <c r="P657">
        <f t="shared" si="567"/>
        <v>1.5703796864791222</v>
      </c>
      <c r="Q657">
        <f t="shared" si="545"/>
        <v>3325.4011031240052</v>
      </c>
      <c r="R657">
        <f t="shared" si="568"/>
        <v>1.5704956111867456</v>
      </c>
      <c r="S657">
        <f t="shared" si="546"/>
        <v>3.3078536921260348E-3</v>
      </c>
      <c r="T657">
        <f t="shared" si="569"/>
        <v>-1.5674884670703757</v>
      </c>
      <c r="U657">
        <f t="shared" si="547"/>
        <v>0.73749486773245254</v>
      </c>
      <c r="V657">
        <f t="shared" si="570"/>
        <v>-0.74144288900726929</v>
      </c>
      <c r="X657">
        <f t="shared" si="548"/>
        <v>-46.455237102931797</v>
      </c>
      <c r="Y657">
        <f t="shared" si="549"/>
        <v>-132.44027116648525</v>
      </c>
      <c r="Z657">
        <f t="shared" si="579"/>
        <v>47.559728833514754</v>
      </c>
      <c r="AC657">
        <v>1</v>
      </c>
      <c r="AD657">
        <f t="shared" si="550"/>
        <v>2400.1516518588005</v>
      </c>
      <c r="AE657">
        <f t="shared" si="551"/>
        <v>-0.12215284037151243</v>
      </c>
      <c r="AF657">
        <f t="shared" si="552"/>
        <v>0.13339265223753</v>
      </c>
      <c r="AG657">
        <f t="shared" si="553"/>
        <v>9782.7070982920159</v>
      </c>
      <c r="AH657">
        <f t="shared" si="554"/>
        <v>-8965.9020831916259</v>
      </c>
      <c r="AJ657">
        <f t="shared" si="571"/>
        <v>18000</v>
      </c>
      <c r="AK657">
        <f t="shared" si="555"/>
        <v>5441565.1954355994</v>
      </c>
      <c r="AL657">
        <v>32</v>
      </c>
      <c r="AM657">
        <f t="shared" si="556"/>
        <v>3325.4009527661997</v>
      </c>
      <c r="AN657">
        <f t="shared" si="557"/>
        <v>1636.2642055838589</v>
      </c>
      <c r="AO657">
        <f t="shared" si="558"/>
        <v>10.332725306432931</v>
      </c>
      <c r="AQ657">
        <f t="shared" si="559"/>
        <v>3.8103947423777063E-5</v>
      </c>
      <c r="AR657">
        <f t="shared" si="560"/>
        <v>-0.6172839482651884</v>
      </c>
      <c r="AT657">
        <f t="shared" si="561"/>
        <v>-5534.1346779146688</v>
      </c>
      <c r="AU657">
        <f t="shared" si="562"/>
        <v>-6039.0496986171647</v>
      </c>
      <c r="AV657">
        <f t="shared" si="580"/>
        <v>-2.3125941277229569</v>
      </c>
      <c r="AW657">
        <f t="shared" si="581"/>
        <v>23723.821063721847</v>
      </c>
      <c r="AX657">
        <f t="shared" si="582"/>
        <v>-21095.089764732802</v>
      </c>
      <c r="AY657">
        <f t="shared" si="590"/>
        <v>-0.72681300147253947</v>
      </c>
      <c r="BA657">
        <f t="shared" si="572"/>
        <v>0.25802321105326581</v>
      </c>
      <c r="BB657">
        <f t="shared" si="583"/>
        <v>-11.766824487019502</v>
      </c>
      <c r="BC657">
        <f t="shared" si="584"/>
        <v>-1.5857811262504176</v>
      </c>
      <c r="BD657">
        <f t="shared" si="573"/>
        <v>-270.85856586947233</v>
      </c>
      <c r="BF657">
        <f t="shared" si="574"/>
        <v>-76.401734374516323</v>
      </c>
      <c r="BG657">
        <f t="shared" si="575"/>
        <v>-180.96571373490838</v>
      </c>
      <c r="BH657">
        <f t="shared" si="585"/>
        <v>-0.96571373490837686</v>
      </c>
      <c r="BI657">
        <f t="shared" si="586"/>
        <v>-0.96571373490837686</v>
      </c>
      <c r="BJ657">
        <f t="shared" si="576"/>
        <v>0</v>
      </c>
      <c r="BK657">
        <f t="shared" si="587"/>
        <v>0</v>
      </c>
      <c r="BM657">
        <f t="shared" si="588"/>
        <v>-64.634909887496818</v>
      </c>
      <c r="BN657">
        <f t="shared" si="577"/>
        <v>-90.107147865436048</v>
      </c>
      <c r="BQ657" s="66">
        <f t="shared" si="589"/>
        <v>5.1351363132656322</v>
      </c>
    </row>
    <row r="658" spans="1:69" x14ac:dyDescent="0.2">
      <c r="A658">
        <f t="shared" si="563"/>
        <v>8200000</v>
      </c>
      <c r="B658">
        <f t="shared" si="578"/>
        <v>8200</v>
      </c>
      <c r="C658">
        <f t="shared" si="539"/>
        <v>510.06996291262499</v>
      </c>
      <c r="D658">
        <f t="shared" si="540"/>
        <v>1.5688358101730311</v>
      </c>
      <c r="F658">
        <f t="shared" si="541"/>
        <v>7.5718960313906471E-8</v>
      </c>
      <c r="G658">
        <f t="shared" si="542"/>
        <v>1.1323764073129696E-4</v>
      </c>
      <c r="H658">
        <f t="shared" si="564"/>
        <v>-3.1414794123592689</v>
      </c>
      <c r="J658">
        <f t="shared" si="565"/>
        <v>15</v>
      </c>
      <c r="M658">
        <f t="shared" si="543"/>
        <v>4.1140233633534337E-4</v>
      </c>
      <c r="N658">
        <f t="shared" si="566"/>
        <v>-1.5707963250000001</v>
      </c>
      <c r="O658">
        <f t="shared" si="544"/>
        <v>2429.7833595132715</v>
      </c>
      <c r="P658">
        <f t="shared" si="567"/>
        <v>1.5703847674580056</v>
      </c>
      <c r="Q658">
        <f t="shared" si="545"/>
        <v>3366.4554340405734</v>
      </c>
      <c r="R658">
        <f t="shared" si="568"/>
        <v>1.5704992784500427</v>
      </c>
      <c r="S658">
        <f t="shared" si="546"/>
        <v>3.267514446304996E-3</v>
      </c>
      <c r="T658">
        <f t="shared" si="569"/>
        <v>-1.5675288065342119</v>
      </c>
      <c r="U658">
        <f t="shared" si="547"/>
        <v>0.73335166580370792</v>
      </c>
      <c r="V658">
        <f t="shared" si="570"/>
        <v>-0.74755738457758913</v>
      </c>
      <c r="X658">
        <f t="shared" si="548"/>
        <v>-46.610747469944414</v>
      </c>
      <c r="Y658">
        <f t="shared" si="549"/>
        <v>-132.79110932163604</v>
      </c>
      <c r="Z658">
        <f t="shared" si="579"/>
        <v>47.208890678363957</v>
      </c>
      <c r="AC658">
        <v>1</v>
      </c>
      <c r="AD658">
        <f t="shared" si="550"/>
        <v>2429.7831537336006</v>
      </c>
      <c r="AE658">
        <f t="shared" si="551"/>
        <v>-0.12518757790855808</v>
      </c>
      <c r="AF658">
        <f t="shared" si="552"/>
        <v>0.13503947510466</v>
      </c>
      <c r="AG658">
        <f t="shared" si="553"/>
        <v>9673.0985294195452</v>
      </c>
      <c r="AH658">
        <f t="shared" si="554"/>
        <v>-8974.7962573874483</v>
      </c>
      <c r="AJ658">
        <f t="shared" si="571"/>
        <v>18000</v>
      </c>
      <c r="AK658">
        <f t="shared" si="555"/>
        <v>5508745.0126631996</v>
      </c>
      <c r="AL658">
        <v>33</v>
      </c>
      <c r="AM658">
        <f t="shared" si="556"/>
        <v>3366.4552855164002</v>
      </c>
      <c r="AN658">
        <f t="shared" si="557"/>
        <v>1636.2588200189787</v>
      </c>
      <c r="AO658">
        <f t="shared" si="558"/>
        <v>10.692713257025947</v>
      </c>
      <c r="AQ658">
        <f t="shared" si="559"/>
        <v>3.7180249713041904E-5</v>
      </c>
      <c r="AR658">
        <f t="shared" si="560"/>
        <v>-0.60975609529388719</v>
      </c>
      <c r="AT658">
        <f t="shared" si="561"/>
        <v>-5472.0770737439407</v>
      </c>
      <c r="AU658">
        <f t="shared" si="562"/>
        <v>-5898.5644738578776</v>
      </c>
      <c r="AV658">
        <f t="shared" si="580"/>
        <v>-2.3187042950996961</v>
      </c>
      <c r="AW658">
        <f t="shared" si="581"/>
        <v>23479.843327099996</v>
      </c>
      <c r="AX658">
        <f t="shared" si="582"/>
        <v>-21100.588360318488</v>
      </c>
      <c r="AY658">
        <f t="shared" si="590"/>
        <v>-0.73207880901766165</v>
      </c>
      <c r="BA658">
        <f t="shared" si="572"/>
        <v>0.25487564757080688</v>
      </c>
      <c r="BB658">
        <f t="shared" si="583"/>
        <v>-11.873433155727113</v>
      </c>
      <c r="BC658">
        <f t="shared" si="584"/>
        <v>-1.5866254860820344</v>
      </c>
      <c r="BD658">
        <f t="shared" si="573"/>
        <v>-270.90694412426961</v>
      </c>
      <c r="BF658">
        <f t="shared" si="574"/>
        <v>-76.614920143127591</v>
      </c>
      <c r="BG658">
        <f t="shared" si="575"/>
        <v>-181.01278531075278</v>
      </c>
      <c r="BH658">
        <f t="shared" si="585"/>
        <v>-1.0127853107527756</v>
      </c>
      <c r="BI658">
        <f t="shared" si="586"/>
        <v>-1.0127853107527756</v>
      </c>
      <c r="BJ658">
        <f t="shared" si="576"/>
        <v>0</v>
      </c>
      <c r="BK658">
        <f t="shared" si="587"/>
        <v>0</v>
      </c>
      <c r="BM658">
        <f t="shared" si="588"/>
        <v>-64.741486987400492</v>
      </c>
      <c r="BN658">
        <f t="shared" si="577"/>
        <v>-90.105841186483161</v>
      </c>
      <c r="BQ658" s="66">
        <f t="shared" si="589"/>
        <v>5.0285276445580243</v>
      </c>
    </row>
    <row r="659" spans="1:69" x14ac:dyDescent="0.2">
      <c r="A659">
        <f t="shared" si="563"/>
        <v>8300000</v>
      </c>
      <c r="B659">
        <f t="shared" si="578"/>
        <v>8300</v>
      </c>
      <c r="C659">
        <f t="shared" si="539"/>
        <v>516.29030454930239</v>
      </c>
      <c r="D659">
        <f t="shared" si="540"/>
        <v>1.5688594307957857</v>
      </c>
      <c r="F659">
        <f t="shared" si="541"/>
        <v>7.3905398214213706E-8</v>
      </c>
      <c r="G659">
        <f t="shared" si="542"/>
        <v>1.1187333161366771E-4</v>
      </c>
      <c r="H659">
        <f t="shared" si="564"/>
        <v>-3.1414807766683865</v>
      </c>
      <c r="J659">
        <f t="shared" si="565"/>
        <v>15</v>
      </c>
      <c r="M659">
        <f t="shared" si="543"/>
        <v>4.0644568168070062E-4</v>
      </c>
      <c r="N659">
        <f t="shared" si="566"/>
        <v>-1.5707963250000001</v>
      </c>
      <c r="O659">
        <f t="shared" si="544"/>
        <v>2459.4148589087986</v>
      </c>
      <c r="P659">
        <f t="shared" si="567"/>
        <v>1.5703897260036834</v>
      </c>
      <c r="Q659">
        <f t="shared" si="545"/>
        <v>3407.5097650013258</v>
      </c>
      <c r="R659">
        <f t="shared" si="568"/>
        <v>1.5705028573455571</v>
      </c>
      <c r="S659">
        <f t="shared" si="546"/>
        <v>3.228147215122731E-3</v>
      </c>
      <c r="T659">
        <f t="shared" si="569"/>
        <v>-1.5675681739730292</v>
      </c>
      <c r="U659">
        <f t="shared" si="547"/>
        <v>0.72922794844511718</v>
      </c>
      <c r="V659">
        <f t="shared" si="570"/>
        <v>-0.75360333911395982</v>
      </c>
      <c r="X659">
        <f t="shared" si="548"/>
        <v>-46.765011154636504</v>
      </c>
      <c r="Y659">
        <f t="shared" si="549"/>
        <v>-133.13800823600184</v>
      </c>
      <c r="Z659">
        <f t="shared" si="579"/>
        <v>46.861991763998162</v>
      </c>
      <c r="AC659">
        <v>1</v>
      </c>
      <c r="AD659">
        <f t="shared" si="550"/>
        <v>2459.4146556084002</v>
      </c>
      <c r="AE659">
        <f t="shared" si="551"/>
        <v>-0.12825955148900309</v>
      </c>
      <c r="AF659">
        <f t="shared" si="552"/>
        <v>0.13668629797179002</v>
      </c>
      <c r="AG659">
        <f t="shared" si="553"/>
        <v>9564.6185853556381</v>
      </c>
      <c r="AH659">
        <f t="shared" si="554"/>
        <v>-8982.2733378475623</v>
      </c>
      <c r="AJ659">
        <f t="shared" si="571"/>
        <v>18000</v>
      </c>
      <c r="AK659">
        <f t="shared" si="555"/>
        <v>5575924.8298907997</v>
      </c>
      <c r="AL659">
        <v>34</v>
      </c>
      <c r="AM659">
        <f t="shared" si="556"/>
        <v>3407.5096182666002</v>
      </c>
      <c r="AN659">
        <f t="shared" si="557"/>
        <v>1636.2534395197583</v>
      </c>
      <c r="AO659">
        <f t="shared" si="558"/>
        <v>11.044023688718299</v>
      </c>
      <c r="AQ659">
        <f t="shared" si="559"/>
        <v>3.6289737130607717E-5</v>
      </c>
      <c r="AR659">
        <f t="shared" si="560"/>
        <v>-0.60240963636808809</v>
      </c>
      <c r="AT659">
        <f t="shared" si="561"/>
        <v>-5410.660917717305</v>
      </c>
      <c r="AU659">
        <f t="shared" si="562"/>
        <v>-5762.1443683418129</v>
      </c>
      <c r="AV659">
        <f t="shared" si="580"/>
        <v>-2.3247460257362866</v>
      </c>
      <c r="AW659">
        <f t="shared" si="581"/>
        <v>23238.33064374845</v>
      </c>
      <c r="AX659">
        <f t="shared" si="582"/>
        <v>-21103.318299049599</v>
      </c>
      <c r="AY659">
        <f t="shared" si="590"/>
        <v>-0.73728617856966638</v>
      </c>
      <c r="BA659">
        <f t="shared" si="572"/>
        <v>0.25180383938992584</v>
      </c>
      <c r="BB659">
        <f t="shared" si="583"/>
        <v>-11.978753045075711</v>
      </c>
      <c r="BC659">
        <f t="shared" si="584"/>
        <v>-1.5874598471666204</v>
      </c>
      <c r="BD659">
        <f t="shared" si="573"/>
        <v>-270.954749493061</v>
      </c>
      <c r="BF659">
        <f t="shared" si="574"/>
        <v>-76.82552524668445</v>
      </c>
      <c r="BG659">
        <f t="shared" si="575"/>
        <v>-181.05931548670375</v>
      </c>
      <c r="BH659">
        <f t="shared" si="585"/>
        <v>-1.0593154867037526</v>
      </c>
      <c r="BI659">
        <f t="shared" si="586"/>
        <v>-1.0593154867037526</v>
      </c>
      <c r="BJ659">
        <f t="shared" si="576"/>
        <v>0</v>
      </c>
      <c r="BK659">
        <f t="shared" si="587"/>
        <v>0</v>
      </c>
      <c r="BM659">
        <f t="shared" si="588"/>
        <v>-64.846772201608744</v>
      </c>
      <c r="BN659">
        <f t="shared" si="577"/>
        <v>-90.104565993642794</v>
      </c>
      <c r="BQ659" s="66">
        <f t="shared" si="589"/>
        <v>4.9232077552094253</v>
      </c>
    </row>
    <row r="660" spans="1:69" x14ac:dyDescent="0.2">
      <c r="A660">
        <f t="shared" si="563"/>
        <v>8400000</v>
      </c>
      <c r="B660">
        <f t="shared" si="578"/>
        <v>8400</v>
      </c>
      <c r="C660">
        <f t="shared" si="539"/>
        <v>522.51064646717714</v>
      </c>
      <c r="D660">
        <f t="shared" si="540"/>
        <v>1.5688824890248454</v>
      </c>
      <c r="F660">
        <f t="shared" si="541"/>
        <v>7.2156219880245402E-8</v>
      </c>
      <c r="G660">
        <f t="shared" si="542"/>
        <v>1.1054150605323383E-4</v>
      </c>
      <c r="H660">
        <f t="shared" si="564"/>
        <v>-3.141482108493947</v>
      </c>
      <c r="J660">
        <f t="shared" si="565"/>
        <v>15</v>
      </c>
      <c r="M660">
        <f t="shared" si="543"/>
        <v>4.0160704261307329E-4</v>
      </c>
      <c r="N660">
        <f t="shared" si="566"/>
        <v>-1.5707963250000001</v>
      </c>
      <c r="O660">
        <f t="shared" si="544"/>
        <v>2489.0463583633559</v>
      </c>
      <c r="P660">
        <f t="shared" si="567"/>
        <v>1.5703945664887691</v>
      </c>
      <c r="Q660">
        <f t="shared" si="545"/>
        <v>3448.564096004684</v>
      </c>
      <c r="R660">
        <f t="shared" si="568"/>
        <v>1.5705063510292807</v>
      </c>
      <c r="S660">
        <f t="shared" si="546"/>
        <v>3.1897172844900863E-3</v>
      </c>
      <c r="T660">
        <f t="shared" si="569"/>
        <v>-1.5676066041015269</v>
      </c>
      <c r="U660">
        <f t="shared" si="547"/>
        <v>0.72512428564956222</v>
      </c>
      <c r="V660">
        <f t="shared" si="570"/>
        <v>-0.75958146403376448</v>
      </c>
      <c r="X660">
        <f t="shared" si="548"/>
        <v>-46.918051472117511</v>
      </c>
      <c r="Y660">
        <f t="shared" si="549"/>
        <v>-133.4810091039466</v>
      </c>
      <c r="Z660">
        <f t="shared" si="579"/>
        <v>46.518990896053396</v>
      </c>
      <c r="AC660">
        <v>1</v>
      </c>
      <c r="AD660">
        <f t="shared" si="550"/>
        <v>2489.0461574832002</v>
      </c>
      <c r="AE660">
        <f t="shared" si="551"/>
        <v>-0.1313687611128474</v>
      </c>
      <c r="AF660">
        <f t="shared" si="552"/>
        <v>0.13833312083891999</v>
      </c>
      <c r="AG660">
        <f t="shared" si="553"/>
        <v>9457.2734630506802</v>
      </c>
      <c r="AH660">
        <f t="shared" si="554"/>
        <v>-8988.3774095881472</v>
      </c>
      <c r="AJ660">
        <f t="shared" si="571"/>
        <v>18000</v>
      </c>
      <c r="AK660">
        <f t="shared" si="555"/>
        <v>5643104.6471183999</v>
      </c>
      <c r="AL660">
        <v>35</v>
      </c>
      <c r="AM660">
        <f t="shared" si="556"/>
        <v>3448.5639510168003</v>
      </c>
      <c r="AN660">
        <f t="shared" si="557"/>
        <v>1636.2480683082758</v>
      </c>
      <c r="AO660">
        <f t="shared" si="558"/>
        <v>11.386966560156548</v>
      </c>
      <c r="AQ660">
        <f t="shared" si="559"/>
        <v>3.5430838876733138E-5</v>
      </c>
      <c r="AR660">
        <f t="shared" si="560"/>
        <v>-0.59523809312911669</v>
      </c>
      <c r="AT660">
        <f t="shared" si="561"/>
        <v>-5349.8895504757957</v>
      </c>
      <c r="AU660">
        <f t="shared" si="562"/>
        <v>-5629.6478880986469</v>
      </c>
      <c r="AV660">
        <f t="shared" si="580"/>
        <v>-2.3307200273253352</v>
      </c>
      <c r="AW660">
        <f t="shared" si="581"/>
        <v>22999.298688491672</v>
      </c>
      <c r="AX660">
        <f t="shared" si="582"/>
        <v>-21103.36254512296</v>
      </c>
      <c r="AY660">
        <f t="shared" si="590"/>
        <v>-0.74243546127412385</v>
      </c>
      <c r="BA660">
        <f t="shared" si="572"/>
        <v>0.24880508251376915</v>
      </c>
      <c r="BB660">
        <f t="shared" si="583"/>
        <v>-12.082815045127685</v>
      </c>
      <c r="BC660">
        <f t="shared" si="584"/>
        <v>-1.5882845660512115</v>
      </c>
      <c r="BD660">
        <f t="shared" si="573"/>
        <v>-271.0020024044868</v>
      </c>
      <c r="BF660">
        <f t="shared" si="574"/>
        <v>-77.033611520103378</v>
      </c>
      <c r="BG660">
        <f t="shared" si="575"/>
        <v>-181.10532356690365</v>
      </c>
      <c r="BH660">
        <f t="shared" si="585"/>
        <v>-1.1053235669036496</v>
      </c>
      <c r="BI660">
        <f t="shared" si="586"/>
        <v>-1.1053235669036496</v>
      </c>
      <c r="BJ660">
        <f t="shared" si="576"/>
        <v>0</v>
      </c>
      <c r="BK660">
        <f t="shared" si="587"/>
        <v>0</v>
      </c>
      <c r="BM660">
        <f t="shared" si="588"/>
        <v>-64.950796474975689</v>
      </c>
      <c r="BN660">
        <f t="shared" si="577"/>
        <v>-90.103321162416876</v>
      </c>
      <c r="BQ660" s="66">
        <f t="shared" si="589"/>
        <v>4.8191457551574537</v>
      </c>
    </row>
    <row r="661" spans="1:69" x14ac:dyDescent="0.2">
      <c r="A661">
        <f t="shared" si="563"/>
        <v>8500000</v>
      </c>
      <c r="B661">
        <f t="shared" si="578"/>
        <v>8500</v>
      </c>
      <c r="C661">
        <f t="shared" si="539"/>
        <v>528.73098865632471</v>
      </c>
      <c r="D661">
        <f t="shared" si="540"/>
        <v>1.5689050047093029</v>
      </c>
      <c r="F661">
        <f t="shared" si="541"/>
        <v>7.0468413381476874E-8</v>
      </c>
      <c r="G661">
        <f t="shared" si="542"/>
        <v>1.0924101757119288E-4</v>
      </c>
      <c r="H661">
        <f t="shared" si="564"/>
        <v>-3.1414834089824288</v>
      </c>
      <c r="J661">
        <f t="shared" si="565"/>
        <v>15</v>
      </c>
      <c r="M661">
        <f t="shared" si="543"/>
        <v>3.9688225387644882E-4</v>
      </c>
      <c r="N661">
        <f t="shared" si="566"/>
        <v>-1.5707963250000001</v>
      </c>
      <c r="O661">
        <f t="shared" si="544"/>
        <v>2518.6778578748604</v>
      </c>
      <c r="P661">
        <f t="shared" si="567"/>
        <v>1.5703992930801061</v>
      </c>
      <c r="Q661">
        <f t="shared" si="545"/>
        <v>3489.6184270491444</v>
      </c>
      <c r="R661">
        <f t="shared" si="568"/>
        <v>1.5705097625086883</v>
      </c>
      <c r="S661">
        <f t="shared" si="546"/>
        <v>3.1521915738805355E-3</v>
      </c>
      <c r="T661">
        <f t="shared" si="569"/>
        <v>-1.5676441300007997</v>
      </c>
      <c r="U661">
        <f t="shared" si="547"/>
        <v>0.72104121331457682</v>
      </c>
      <c r="V661">
        <f t="shared" si="570"/>
        <v>-0.76549247427612399</v>
      </c>
      <c r="X661">
        <f t="shared" si="548"/>
        <v>-47.069890877700487</v>
      </c>
      <c r="Y661">
        <f t="shared" si="549"/>
        <v>-133.82015330123272</v>
      </c>
      <c r="Z661">
        <f t="shared" si="579"/>
        <v>46.179846698767278</v>
      </c>
      <c r="AC661">
        <v>1</v>
      </c>
      <c r="AD661">
        <f t="shared" si="550"/>
        <v>2518.6776593580003</v>
      </c>
      <c r="AE661">
        <f t="shared" si="551"/>
        <v>-0.13451520678009107</v>
      </c>
      <c r="AF661">
        <f t="shared" si="552"/>
        <v>0.13997994370605002</v>
      </c>
      <c r="AG661">
        <f t="shared" si="553"/>
        <v>9351.0681811255126</v>
      </c>
      <c r="AH661">
        <f t="shared" si="554"/>
        <v>-8993.1517092360409</v>
      </c>
      <c r="AJ661">
        <f t="shared" si="571"/>
        <v>18000</v>
      </c>
      <c r="AK661">
        <f t="shared" si="555"/>
        <v>5710284.464346</v>
      </c>
      <c r="AL661">
        <v>36</v>
      </c>
      <c r="AM661">
        <f t="shared" si="556"/>
        <v>3489.6182837670003</v>
      </c>
      <c r="AN661">
        <f t="shared" si="557"/>
        <v>1636.2427102030986</v>
      </c>
      <c r="AO661">
        <f t="shared" si="558"/>
        <v>11.721837244374875</v>
      </c>
      <c r="AQ661">
        <f t="shared" si="559"/>
        <v>3.4602076004837107E-5</v>
      </c>
      <c r="AR661">
        <f t="shared" si="560"/>
        <v>-0.5882352920822308</v>
      </c>
      <c r="AT661">
        <f t="shared" si="561"/>
        <v>-5289.7656560503456</v>
      </c>
      <c r="AU661">
        <f t="shared" si="562"/>
        <v>-5500.9395045241863</v>
      </c>
      <c r="AV661">
        <f t="shared" si="580"/>
        <v>-2.3366270112564669</v>
      </c>
      <c r="AW661">
        <f t="shared" si="581"/>
        <v>22762.760446725119</v>
      </c>
      <c r="AX661">
        <f t="shared" si="582"/>
        <v>-21100.802917569516</v>
      </c>
      <c r="AY661">
        <f t="shared" si="590"/>
        <v>-0.74752702875590948</v>
      </c>
      <c r="BA661">
        <f t="shared" si="572"/>
        <v>0.24587680011956548</v>
      </c>
      <c r="BB661">
        <f t="shared" si="583"/>
        <v>-12.185648949860292</v>
      </c>
      <c r="BC661">
        <f t="shared" si="584"/>
        <v>-1.5890999825005574</v>
      </c>
      <c r="BD661">
        <f t="shared" si="573"/>
        <v>-271.04872232563326</v>
      </c>
      <c r="BF661">
        <f t="shared" si="574"/>
        <v>-77.23923860351286</v>
      </c>
      <c r="BG661">
        <f t="shared" si="575"/>
        <v>-181.15082794685776</v>
      </c>
      <c r="BH661">
        <f t="shared" si="585"/>
        <v>-1.1508279468577598</v>
      </c>
      <c r="BI661">
        <f t="shared" si="586"/>
        <v>-1.1508279468577598</v>
      </c>
      <c r="BJ661">
        <f t="shared" si="576"/>
        <v>0</v>
      </c>
      <c r="BK661">
        <f t="shared" si="587"/>
        <v>0</v>
      </c>
      <c r="BM661">
        <f t="shared" si="588"/>
        <v>-65.053589653652566</v>
      </c>
      <c r="BN661">
        <f t="shared" si="577"/>
        <v>-90.102105621224524</v>
      </c>
      <c r="BQ661" s="66">
        <f t="shared" si="589"/>
        <v>4.7163118504248445</v>
      </c>
    </row>
    <row r="662" spans="1:69" x14ac:dyDescent="0.2">
      <c r="A662">
        <f t="shared" si="563"/>
        <v>8600000</v>
      </c>
      <c r="B662">
        <f t="shared" si="578"/>
        <v>8600</v>
      </c>
      <c r="C662">
        <f t="shared" si="539"/>
        <v>534.95133110728216</v>
      </c>
      <c r="D662">
        <f t="shared" si="540"/>
        <v>1.5689269967750432</v>
      </c>
      <c r="F662">
        <f t="shared" si="541"/>
        <v>6.8839140875454307E-8</v>
      </c>
      <c r="G662">
        <f t="shared" si="542"/>
        <v>1.0797077301335569E-4</v>
      </c>
      <c r="H662">
        <f t="shared" si="564"/>
        <v>-3.1414846792269868</v>
      </c>
      <c r="J662">
        <f t="shared" si="565"/>
        <v>15</v>
      </c>
      <c r="M662">
        <f t="shared" si="543"/>
        <v>3.9226734394765293E-4</v>
      </c>
      <c r="N662">
        <f t="shared" si="566"/>
        <v>-1.5707963250000001</v>
      </c>
      <c r="O662">
        <f t="shared" si="544"/>
        <v>2548.3093574413251</v>
      </c>
      <c r="P662">
        <f t="shared" si="567"/>
        <v>1.5704039097507316</v>
      </c>
      <c r="Q662">
        <f t="shared" si="545"/>
        <v>3530.672758133273</v>
      </c>
      <c r="R662">
        <f t="shared" si="568"/>
        <v>1.5705130946513719</v>
      </c>
      <c r="S662">
        <f t="shared" si="546"/>
        <v>3.1155385413584539E-3</v>
      </c>
      <c r="T662">
        <f t="shared" si="569"/>
        <v>-1.5676807832133119</v>
      </c>
      <c r="U662">
        <f t="shared" si="547"/>
        <v>0.71697923436561606</v>
      </c>
      <c r="V662">
        <f t="shared" si="570"/>
        <v>-0.77133708757957675</v>
      </c>
      <c r="X662">
        <f t="shared" si="548"/>
        <v>-47.220551013618717</v>
      </c>
      <c r="Y662">
        <f t="shared" si="549"/>
        <v>-134.15548234481994</v>
      </c>
      <c r="Z662">
        <f t="shared" si="579"/>
        <v>45.844517655180056</v>
      </c>
      <c r="AC662">
        <v>1</v>
      </c>
      <c r="AD662">
        <f t="shared" si="550"/>
        <v>2548.3091612328003</v>
      </c>
      <c r="AE662">
        <f t="shared" si="551"/>
        <v>-0.13769888849073406</v>
      </c>
      <c r="AF662">
        <f t="shared" si="552"/>
        <v>0.14162676657318002</v>
      </c>
      <c r="AG662">
        <f t="shared" si="553"/>
        <v>9246.0066379223517</v>
      </c>
      <c r="AH662">
        <f t="shared" si="554"/>
        <v>-8996.6386146469176</v>
      </c>
      <c r="AJ662">
        <f t="shared" si="571"/>
        <v>18000</v>
      </c>
      <c r="AK662">
        <f t="shared" si="555"/>
        <v>5777464.2815735992</v>
      </c>
      <c r="AL662">
        <v>37</v>
      </c>
      <c r="AM662">
        <f t="shared" si="556"/>
        <v>3530.6726165171999</v>
      </c>
      <c r="AN662">
        <f t="shared" si="557"/>
        <v>1636.2373686545181</v>
      </c>
      <c r="AO662">
        <f t="shared" si="558"/>
        <v>12.048917376593568</v>
      </c>
      <c r="AQ662">
        <f t="shared" si="559"/>
        <v>3.3802055050696138E-5</v>
      </c>
      <c r="AR662">
        <f t="shared" si="560"/>
        <v>-0.58139534687197358</v>
      </c>
      <c r="AT662">
        <f t="shared" si="561"/>
        <v>-5230.2912940190618</v>
      </c>
      <c r="AU662">
        <f t="shared" si="562"/>
        <v>-5375.8893413091591</v>
      </c>
      <c r="AV662">
        <f t="shared" si="580"/>
        <v>-2.3424676918838196</v>
      </c>
      <c r="AW662">
        <f t="shared" si="581"/>
        <v>22528.726346374213</v>
      </c>
      <c r="AX662">
        <f t="shared" si="582"/>
        <v>-21095.72002408504</v>
      </c>
      <c r="AY662">
        <f t="shared" si="590"/>
        <v>-0.75256127141125473</v>
      </c>
      <c r="BA662">
        <f t="shared" si="572"/>
        <v>0.24301653516903129</v>
      </c>
      <c r="BB662">
        <f t="shared" si="583"/>
        <v>-12.287283508416047</v>
      </c>
      <c r="BC662">
        <f t="shared" si="584"/>
        <v>-1.5899064204725648</v>
      </c>
      <c r="BD662">
        <f t="shared" si="573"/>
        <v>-271.09492781792113</v>
      </c>
      <c r="BF662">
        <f t="shared" si="574"/>
        <v>-77.442464044908988</v>
      </c>
      <c r="BG662">
        <f t="shared" si="575"/>
        <v>-181.19584616624675</v>
      </c>
      <c r="BH662">
        <f t="shared" si="585"/>
        <v>-1.1958461662467528</v>
      </c>
      <c r="BI662">
        <f t="shared" si="586"/>
        <v>-1.1958461662467528</v>
      </c>
      <c r="BJ662">
        <f t="shared" si="576"/>
        <v>0</v>
      </c>
      <c r="BK662">
        <f t="shared" si="587"/>
        <v>0</v>
      </c>
      <c r="BM662">
        <f t="shared" si="588"/>
        <v>-65.155180536492949</v>
      </c>
      <c r="BN662">
        <f t="shared" si="577"/>
        <v>-90.100918348325592</v>
      </c>
      <c r="BQ662" s="66">
        <f t="shared" si="589"/>
        <v>4.6146772918690901</v>
      </c>
    </row>
    <row r="663" spans="1:69" x14ac:dyDescent="0.2">
      <c r="A663">
        <f t="shared" si="563"/>
        <v>8700000</v>
      </c>
      <c r="B663">
        <f t="shared" si="578"/>
        <v>8700</v>
      </c>
      <c r="C663">
        <f t="shared" si="539"/>
        <v>541.17167381102161</v>
      </c>
      <c r="D663">
        <f t="shared" si="540"/>
        <v>1.5689484832778002</v>
      </c>
      <c r="F663">
        <f t="shared" si="541"/>
        <v>6.7265726671267285E-8</v>
      </c>
      <c r="G663">
        <f t="shared" si="542"/>
        <v>1.0672972948551231E-4</v>
      </c>
      <c r="H663">
        <f t="shared" si="564"/>
        <v>-3.1414859202705148</v>
      </c>
      <c r="J663">
        <f t="shared" si="565"/>
        <v>15</v>
      </c>
      <c r="M663">
        <f t="shared" si="543"/>
        <v>3.8775852390227761E-4</v>
      </c>
      <c r="N663">
        <f t="shared" si="566"/>
        <v>-1.5707963250000001</v>
      </c>
      <c r="O663">
        <f t="shared" si="544"/>
        <v>2577.9408570608548</v>
      </c>
      <c r="P663">
        <f t="shared" si="567"/>
        <v>1.570408420291014</v>
      </c>
      <c r="Q663">
        <f t="shared" si="545"/>
        <v>3571.7270892557017</v>
      </c>
      <c r="R663">
        <f t="shared" si="568"/>
        <v>1.5705163501930806</v>
      </c>
      <c r="S663">
        <f t="shared" si="546"/>
        <v>3.0797280951569495E-3</v>
      </c>
      <c r="T663">
        <f t="shared" si="569"/>
        <v>-1.5677165938313231</v>
      </c>
      <c r="U663">
        <f t="shared" si="547"/>
        <v>0.71293881986541163</v>
      </c>
      <c r="V663">
        <f t="shared" si="570"/>
        <v>-0.77711602379573896</v>
      </c>
      <c r="X663">
        <f t="shared" si="548"/>
        <v>-47.370052752722231</v>
      </c>
      <c r="Y663">
        <f t="shared" si="549"/>
        <v>-134.48703785464443</v>
      </c>
      <c r="Z663">
        <f t="shared" si="579"/>
        <v>45.512962145355573</v>
      </c>
      <c r="AC663">
        <v>1</v>
      </c>
      <c r="AD663">
        <f t="shared" si="550"/>
        <v>2577.9406631076004</v>
      </c>
      <c r="AE663">
        <f t="shared" si="551"/>
        <v>-0.14091980624477637</v>
      </c>
      <c r="AF663">
        <f t="shared" si="552"/>
        <v>0.14327358944030999</v>
      </c>
      <c r="AG663">
        <f t="shared" si="553"/>
        <v>9142.091667937626</v>
      </c>
      <c r="AH663">
        <f t="shared" si="554"/>
        <v>-8998.8796368844924</v>
      </c>
      <c r="AJ663">
        <f t="shared" si="571"/>
        <v>18000</v>
      </c>
      <c r="AK663">
        <f t="shared" si="555"/>
        <v>5844644.0988011993</v>
      </c>
      <c r="AL663">
        <v>38</v>
      </c>
      <c r="AM663">
        <f t="shared" si="556"/>
        <v>3571.7269492674</v>
      </c>
      <c r="AN663">
        <f t="shared" si="557"/>
        <v>1636.2320467765451</v>
      </c>
      <c r="AO663">
        <f t="shared" si="558"/>
        <v>12.368475643573447</v>
      </c>
      <c r="AQ663">
        <f t="shared" si="559"/>
        <v>3.3029462171259541E-5</v>
      </c>
      <c r="AR663">
        <f t="shared" si="560"/>
        <v>-0.57471264177991599</v>
      </c>
      <c r="AT663">
        <f t="shared" si="561"/>
        <v>-5171.4679308024661</v>
      </c>
      <c r="AU663">
        <f t="shared" si="562"/>
        <v>-5254.3728820291417</v>
      </c>
      <c r="AV663">
        <f t="shared" si="580"/>
        <v>-2.3482427858302133</v>
      </c>
      <c r="AW663">
        <f t="shared" si="581"/>
        <v>22297.204386072724</v>
      </c>
      <c r="AX663">
        <f t="shared" si="582"/>
        <v>-21088.193203018054</v>
      </c>
      <c r="AY663">
        <f t="shared" si="590"/>
        <v>-0.75753859680372471</v>
      </c>
      <c r="BA663">
        <f t="shared" si="572"/>
        <v>0.24022194352811091</v>
      </c>
      <c r="BB663">
        <f t="shared" si="583"/>
        <v>-12.38774647339223</v>
      </c>
      <c r="BC663">
        <f t="shared" si="584"/>
        <v>-1.5907041890264886</v>
      </c>
      <c r="BD663">
        <f t="shared" si="573"/>
        <v>-271.14063658914148</v>
      </c>
      <c r="BF663">
        <f t="shared" si="574"/>
        <v>-77.643343396878649</v>
      </c>
      <c r="BG663">
        <f t="shared" si="575"/>
        <v>-181.2403949580976</v>
      </c>
      <c r="BH663">
        <f t="shared" si="585"/>
        <v>-1.2403949580975961</v>
      </c>
      <c r="BI663">
        <f t="shared" si="586"/>
        <v>-1.2403949580975961</v>
      </c>
      <c r="BJ663">
        <f t="shared" si="576"/>
        <v>0</v>
      </c>
      <c r="BK663">
        <f t="shared" si="587"/>
        <v>0</v>
      </c>
      <c r="BM663">
        <f t="shared" si="588"/>
        <v>-65.255596923486408</v>
      </c>
      <c r="BN663">
        <f t="shared" si="577"/>
        <v>-90.099758368956145</v>
      </c>
      <c r="BQ663" s="66">
        <f t="shared" si="589"/>
        <v>4.5142143268929056</v>
      </c>
    </row>
    <row r="664" spans="1:69" x14ac:dyDescent="0.2">
      <c r="A664">
        <f t="shared" si="563"/>
        <v>8800000</v>
      </c>
      <c r="B664">
        <f t="shared" si="578"/>
        <v>8800</v>
      </c>
      <c r="C664">
        <f t="shared" si="539"/>
        <v>547.39201675892537</v>
      </c>
      <c r="D664">
        <f t="shared" si="540"/>
        <v>1.5689694814525978</v>
      </c>
      <c r="F664">
        <f t="shared" si="541"/>
        <v>6.5745646237069869E-8</v>
      </c>
      <c r="G664">
        <f t="shared" si="542"/>
        <v>1.0551689149775028E-4</v>
      </c>
      <c r="H664">
        <f t="shared" si="564"/>
        <v>-3.1414871331085026</v>
      </c>
      <c r="J664">
        <f t="shared" si="565"/>
        <v>15</v>
      </c>
      <c r="M664">
        <f t="shared" si="543"/>
        <v>3.8335217703975173E-4</v>
      </c>
      <c r="N664">
        <f t="shared" si="566"/>
        <v>-1.5707963250000001</v>
      </c>
      <c r="O664">
        <f t="shared" si="544"/>
        <v>2607.5723567316409</v>
      </c>
      <c r="P664">
        <f t="shared" si="567"/>
        <v>1.5704128283190326</v>
      </c>
      <c r="Q664">
        <f t="shared" si="545"/>
        <v>3612.7814204151259</v>
      </c>
      <c r="R664">
        <f t="shared" si="568"/>
        <v>1.5705195317452103</v>
      </c>
      <c r="S664">
        <f t="shared" si="546"/>
        <v>3.0447315112842686E-3</v>
      </c>
      <c r="T664">
        <f t="shared" si="569"/>
        <v>-1.5677515905792847</v>
      </c>
      <c r="U664">
        <f t="shared" si="547"/>
        <v>0.70892041010782547</v>
      </c>
      <c r="V664">
        <f t="shared" si="570"/>
        <v>-0.78283000423792015</v>
      </c>
      <c r="X664">
        <f t="shared" si="548"/>
        <v>-47.518416239370289</v>
      </c>
      <c r="Y664">
        <f t="shared" si="549"/>
        <v>-134.81486151732494</v>
      </c>
      <c r="Z664">
        <f t="shared" si="579"/>
        <v>45.185138482675058</v>
      </c>
      <c r="AC664">
        <v>1</v>
      </c>
      <c r="AD664">
        <f t="shared" si="550"/>
        <v>2607.5721649824004</v>
      </c>
      <c r="AE664">
        <f t="shared" si="551"/>
        <v>-0.144177960042218</v>
      </c>
      <c r="AF664">
        <f t="shared" si="552"/>
        <v>0.14492041230744002</v>
      </c>
      <c r="AG664">
        <f t="shared" si="553"/>
        <v>9039.3250966074556</v>
      </c>
      <c r="AH664">
        <f t="shared" si="554"/>
        <v>-8999.9154144024487</v>
      </c>
      <c r="AJ664">
        <f t="shared" si="571"/>
        <v>18000</v>
      </c>
      <c r="AK664">
        <f t="shared" si="555"/>
        <v>5911823.9160287995</v>
      </c>
      <c r="AL664">
        <v>39</v>
      </c>
      <c r="AM664">
        <f t="shared" si="556"/>
        <v>3612.7812820176</v>
      </c>
      <c r="AN664">
        <f t="shared" si="557"/>
        <v>1636.2267473759996</v>
      </c>
      <c r="AO664">
        <f t="shared" si="558"/>
        <v>12.68076851917237</v>
      </c>
      <c r="AQ664">
        <f t="shared" si="559"/>
        <v>3.2283057747020086E-5</v>
      </c>
      <c r="AR664">
        <f t="shared" si="560"/>
        <v>-0.56818181634755349</v>
      </c>
      <c r="AT664">
        <f t="shared" si="561"/>
        <v>-5113.2964700754401</v>
      </c>
      <c r="AU664">
        <f t="shared" si="562"/>
        <v>-5136.2706967354898</v>
      </c>
      <c r="AV664">
        <f t="shared" si="580"/>
        <v>-2.3539530113269236</v>
      </c>
      <c r="AW664">
        <f t="shared" si="581"/>
        <v>22068.200259513622</v>
      </c>
      <c r="AX664">
        <f t="shared" si="582"/>
        <v>-21078.300472937019</v>
      </c>
      <c r="AY664">
        <f t="shared" si="590"/>
        <v>-0.7624594281577034</v>
      </c>
      <c r="BA664">
        <f t="shared" si="572"/>
        <v>0.2374907875555575</v>
      </c>
      <c r="BB664">
        <f t="shared" si="583"/>
        <v>-12.487064646372561</v>
      </c>
      <c r="BC664">
        <f t="shared" si="584"/>
        <v>-1.5914935831692203</v>
      </c>
      <c r="BD664">
        <f t="shared" si="573"/>
        <v>-271.18586554194405</v>
      </c>
      <c r="BF664">
        <f t="shared" si="574"/>
        <v>-77.841930307796787</v>
      </c>
      <c r="BG664">
        <f t="shared" si="575"/>
        <v>-181.28449029460342</v>
      </c>
      <c r="BH664">
        <f t="shared" si="585"/>
        <v>-1.2844902946034154</v>
      </c>
      <c r="BI664">
        <f t="shared" si="586"/>
        <v>-1.2844902946034154</v>
      </c>
      <c r="BJ664">
        <f t="shared" si="576"/>
        <v>0</v>
      </c>
      <c r="BK664">
        <f t="shared" si="587"/>
        <v>0</v>
      </c>
      <c r="BM664">
        <f t="shared" si="588"/>
        <v>-65.354865661424228</v>
      </c>
      <c r="BN664">
        <f t="shared" si="577"/>
        <v>-90.098624752659404</v>
      </c>
      <c r="BQ664" s="66">
        <f t="shared" si="589"/>
        <v>4.4148961539125766</v>
      </c>
    </row>
    <row r="665" spans="1:69" x14ac:dyDescent="0.2">
      <c r="A665">
        <f t="shared" si="563"/>
        <v>8900000</v>
      </c>
      <c r="B665">
        <f t="shared" si="578"/>
        <v>8900</v>
      </c>
      <c r="C665">
        <f t="shared" si="539"/>
        <v>553.61235994276319</v>
      </c>
      <c r="D665">
        <f t="shared" si="540"/>
        <v>1.5689900077598562</v>
      </c>
      <c r="F665">
        <f t="shared" si="541"/>
        <v>6.4276516067274326E-8</v>
      </c>
      <c r="G665">
        <f t="shared" si="542"/>
        <v>1.0433130830129079E-4</v>
      </c>
      <c r="H665">
        <f t="shared" si="564"/>
        <v>-3.1414883186916991</v>
      </c>
      <c r="J665">
        <f t="shared" si="565"/>
        <v>15</v>
      </c>
      <c r="M665">
        <f t="shared" si="543"/>
        <v>3.7904484920784438E-4</v>
      </c>
      <c r="N665">
        <f t="shared" si="566"/>
        <v>-1.5707963250000001</v>
      </c>
      <c r="O665">
        <f t="shared" si="544"/>
        <v>2637.2038564519553</v>
      </c>
      <c r="P665">
        <f t="shared" si="567"/>
        <v>1.570417137290256</v>
      </c>
      <c r="Q665">
        <f t="shared" si="545"/>
        <v>3653.8357516102974</v>
      </c>
      <c r="R665">
        <f t="shared" si="568"/>
        <v>1.5705226418017924</v>
      </c>
      <c r="S665">
        <f t="shared" si="546"/>
        <v>3.0105213566846466E-3</v>
      </c>
      <c r="T665">
        <f t="shared" si="569"/>
        <v>-1.5677858008906811</v>
      </c>
      <c r="U665">
        <f t="shared" si="547"/>
        <v>0.70492441569478814</v>
      </c>
      <c r="V665">
        <f t="shared" si="570"/>
        <v>-0.7884797510636522</v>
      </c>
      <c r="X665">
        <f t="shared" si="548"/>
        <v>-47.665660927719216</v>
      </c>
      <c r="Y665">
        <f t="shared" si="549"/>
        <v>-135.13899505174325</v>
      </c>
      <c r="Z665">
        <f t="shared" si="579"/>
        <v>44.861004948256749</v>
      </c>
      <c r="AC665">
        <v>1</v>
      </c>
      <c r="AD665">
        <f t="shared" si="550"/>
        <v>2637.2036668572005</v>
      </c>
      <c r="AE665">
        <f t="shared" si="551"/>
        <v>-0.14747334988305899</v>
      </c>
      <c r="AF665">
        <f t="shared" si="552"/>
        <v>0.14656723517457002</v>
      </c>
      <c r="AG665">
        <f t="shared" si="553"/>
        <v>8937.7077934248591</v>
      </c>
      <c r="AH665">
        <f t="shared" si="554"/>
        <v>-8999.7857092766644</v>
      </c>
      <c r="AJ665">
        <f t="shared" si="571"/>
        <v>18000</v>
      </c>
      <c r="AK665">
        <f t="shared" si="555"/>
        <v>5979003.7332563996</v>
      </c>
      <c r="AL665">
        <v>40</v>
      </c>
      <c r="AM665">
        <f t="shared" si="556"/>
        <v>3653.8356147678001</v>
      </c>
      <c r="AN665">
        <f t="shared" si="557"/>
        <v>1636.2214729789687</v>
      </c>
      <c r="AO665">
        <f t="shared" si="558"/>
        <v>12.986040950332711</v>
      </c>
      <c r="AQ665">
        <f t="shared" si="559"/>
        <v>3.1561671406509055E-5</v>
      </c>
      <c r="AR665">
        <f t="shared" si="560"/>
        <v>-0.56179775103586116</v>
      </c>
      <c r="AT665">
        <f t="shared" si="561"/>
        <v>-5055.7772822798097</v>
      </c>
      <c r="AU665">
        <f t="shared" si="562"/>
        <v>-5021.4681860410601</v>
      </c>
      <c r="AV665">
        <f t="shared" si="580"/>
        <v>-2.3595990875879673</v>
      </c>
      <c r="AW665">
        <f t="shared" si="581"/>
        <v>21841.71747594179</v>
      </c>
      <c r="AX665">
        <f t="shared" si="582"/>
        <v>-21066.118489231503</v>
      </c>
      <c r="AY665">
        <f t="shared" si="590"/>
        <v>-0.7673242029434223</v>
      </c>
      <c r="BA665">
        <f t="shared" si="572"/>
        <v>0.23482093012350319</v>
      </c>
      <c r="BB665">
        <f t="shared" si="583"/>
        <v>-12.58526392088778</v>
      </c>
      <c r="BC665">
        <f t="shared" si="584"/>
        <v>-1.5922748846445449</v>
      </c>
      <c r="BD665">
        <f t="shared" si="573"/>
        <v>-271.23063081905866</v>
      </c>
      <c r="BF665">
        <f t="shared" si="574"/>
        <v>-78.03827660787266</v>
      </c>
      <c r="BG665">
        <f t="shared" si="575"/>
        <v>-181.32814742985528</v>
      </c>
      <c r="BH665">
        <f t="shared" si="585"/>
        <v>-1.328147429855278</v>
      </c>
      <c r="BI665">
        <f t="shared" si="586"/>
        <v>-1.328147429855278</v>
      </c>
      <c r="BJ665">
        <f t="shared" si="576"/>
        <v>0</v>
      </c>
      <c r="BK665">
        <f t="shared" si="587"/>
        <v>0</v>
      </c>
      <c r="BM665">
        <f t="shared" si="588"/>
        <v>-65.453012686984891</v>
      </c>
      <c r="BN665">
        <f t="shared" si="577"/>
        <v>-90.09751661079666</v>
      </c>
      <c r="BQ665" s="66">
        <f t="shared" si="589"/>
        <v>4.3166968793973579</v>
      </c>
    </row>
    <row r="666" spans="1:69" x14ac:dyDescent="0.2">
      <c r="A666">
        <f t="shared" si="563"/>
        <v>9000000</v>
      </c>
      <c r="B666">
        <f t="shared" si="578"/>
        <v>9000</v>
      </c>
      <c r="C666">
        <f t="shared" si="539"/>
        <v>559.8327033546708</v>
      </c>
      <c r="D666">
        <f t="shared" si="540"/>
        <v>1.5690100779284251</v>
      </c>
      <c r="F666">
        <f t="shared" si="541"/>
        <v>6.2856084333431546E-8</v>
      </c>
      <c r="G666">
        <f t="shared" si="542"/>
        <v>1.0317207140286923E-4</v>
      </c>
      <c r="H666">
        <f t="shared" si="564"/>
        <v>-3.1414894779285971</v>
      </c>
      <c r="J666">
        <f t="shared" si="565"/>
        <v>15</v>
      </c>
      <c r="M666">
        <f t="shared" si="543"/>
        <v>3.7483323977220169E-4</v>
      </c>
      <c r="N666">
        <f t="shared" si="566"/>
        <v>-1.5707963250000001</v>
      </c>
      <c r="O666">
        <f t="shared" si="544"/>
        <v>2666.8353562201469</v>
      </c>
      <c r="P666">
        <f t="shared" si="567"/>
        <v>1.5704213505065772</v>
      </c>
      <c r="Q666">
        <f t="shared" si="545"/>
        <v>3694.8900828400251</v>
      </c>
      <c r="R666">
        <f t="shared" si="568"/>
        <v>1.5705256827460108</v>
      </c>
      <c r="S666">
        <f t="shared" si="546"/>
        <v>2.977071417521608E-3</v>
      </c>
      <c r="T666">
        <f t="shared" si="569"/>
        <v>-1.5678192509797495</v>
      </c>
      <c r="U666">
        <f t="shared" si="547"/>
        <v>0.70095121859508303</v>
      </c>
      <c r="V666">
        <f t="shared" si="570"/>
        <v>-0.79406598669007566</v>
      </c>
      <c r="X666">
        <f t="shared" si="548"/>
        <v>-47.811805617588888</v>
      </c>
      <c r="Y666">
        <f t="shared" si="549"/>
        <v>-135.45948017644287</v>
      </c>
      <c r="Z666">
        <f t="shared" si="579"/>
        <v>44.540519823557133</v>
      </c>
      <c r="AC666">
        <v>1</v>
      </c>
      <c r="AD666">
        <f t="shared" si="550"/>
        <v>2666.8351687320001</v>
      </c>
      <c r="AE666">
        <f t="shared" si="551"/>
        <v>-0.15080597576729932</v>
      </c>
      <c r="AF666">
        <f t="shared" si="552"/>
        <v>0.14821405804170001</v>
      </c>
      <c r="AG666">
        <f t="shared" si="553"/>
        <v>8837.2397233754855</v>
      </c>
      <c r="AH666">
        <f t="shared" si="554"/>
        <v>-8998.5294053411544</v>
      </c>
      <c r="AJ666">
        <f t="shared" si="571"/>
        <v>18000</v>
      </c>
      <c r="AK666">
        <f t="shared" si="555"/>
        <v>6046183.5504839998</v>
      </c>
      <c r="AL666">
        <v>41</v>
      </c>
      <c r="AM666">
        <f t="shared" si="556"/>
        <v>3694.8899475180001</v>
      </c>
      <c r="AN666">
        <f t="shared" si="557"/>
        <v>1636.2162258548992</v>
      </c>
      <c r="AO666">
        <f t="shared" si="558"/>
        <v>13.284526997352941</v>
      </c>
      <c r="AQ666">
        <f t="shared" si="559"/>
        <v>3.0864197435604332E-5</v>
      </c>
      <c r="AR666">
        <f t="shared" si="560"/>
        <v>-0.55555555384087796</v>
      </c>
      <c r="AT666">
        <f t="shared" si="561"/>
        <v>-4998.9102332261236</v>
      </c>
      <c r="AU666">
        <f t="shared" si="562"/>
        <v>-4909.8553413326717</v>
      </c>
      <c r="AV666">
        <f t="shared" si="580"/>
        <v>-2.365181734217793</v>
      </c>
      <c r="AW666">
        <f t="shared" si="581"/>
        <v>21617.757476773426</v>
      </c>
      <c r="AX666">
        <f t="shared" si="582"/>
        <v>-21051.722507233571</v>
      </c>
      <c r="AY666">
        <f t="shared" si="590"/>
        <v>-0.7721333715479981</v>
      </c>
      <c r="BA666">
        <f t="shared" si="572"/>
        <v>0.23221032903643479</v>
      </c>
      <c r="BB666">
        <f t="shared" si="583"/>
        <v>-12.682369322977557</v>
      </c>
      <c r="BC666">
        <f t="shared" si="584"/>
        <v>-1.5930483626697949</v>
      </c>
      <c r="BD666">
        <f t="shared" si="573"/>
        <v>-271.2749478455022</v>
      </c>
      <c r="BF666">
        <f t="shared" si="574"/>
        <v>-78.232432390389889</v>
      </c>
      <c r="BG666">
        <f t="shared" si="575"/>
        <v>-181.37138093972624</v>
      </c>
      <c r="BH666">
        <f t="shared" si="585"/>
        <v>-1.3713809397262366</v>
      </c>
      <c r="BI666">
        <f t="shared" si="586"/>
        <v>-1.3713809397262366</v>
      </c>
      <c r="BJ666">
        <f t="shared" si="576"/>
        <v>0</v>
      </c>
      <c r="BK666">
        <f t="shared" si="587"/>
        <v>0</v>
      </c>
      <c r="BM666">
        <f t="shared" si="588"/>
        <v>-65.550063067412339</v>
      </c>
      <c r="BN666">
        <f t="shared" si="577"/>
        <v>-90.096433094224025</v>
      </c>
      <c r="BQ666" s="66">
        <f t="shared" si="589"/>
        <v>4.2195914773075778</v>
      </c>
    </row>
    <row r="667" spans="1:69" x14ac:dyDescent="0.2">
      <c r="A667">
        <f t="shared" si="563"/>
        <v>9100000</v>
      </c>
      <c r="B667">
        <f t="shared" si="578"/>
        <v>9100</v>
      </c>
      <c r="C667">
        <f t="shared" si="539"/>
        <v>566.05304698712939</v>
      </c>
      <c r="D667">
        <f t="shared" si="540"/>
        <v>1.5690297069957799</v>
      </c>
      <c r="F667">
        <f t="shared" si="541"/>
        <v>6.1482222250285549E-8</v>
      </c>
      <c r="G667">
        <f t="shared" si="542"/>
        <v>1.0203831224300282E-4</v>
      </c>
      <c r="H667">
        <f t="shared" si="564"/>
        <v>-3.141490611687757</v>
      </c>
      <c r="J667">
        <f t="shared" si="565"/>
        <v>15</v>
      </c>
      <c r="M667">
        <f t="shared" si="543"/>
        <v>3.7071419318129839E-4</v>
      </c>
      <c r="N667">
        <f t="shared" si="566"/>
        <v>-1.5707963250000001</v>
      </c>
      <c r="O667">
        <f t="shared" si="544"/>
        <v>2696.4668560346372</v>
      </c>
      <c r="P667">
        <f t="shared" si="567"/>
        <v>1.5704254711247503</v>
      </c>
      <c r="Q667">
        <f t="shared" si="545"/>
        <v>3735.9444141031704</v>
      </c>
      <c r="R667">
        <f t="shared" si="568"/>
        <v>1.5705286568562953</v>
      </c>
      <c r="S667">
        <f t="shared" si="546"/>
        <v>2.9443566321896821E-3</v>
      </c>
      <c r="T667">
        <f t="shared" si="569"/>
        <v>-1.56785196590847</v>
      </c>
      <c r="U667">
        <f t="shared" si="547"/>
        <v>0.6970011731838841</v>
      </c>
      <c r="V667">
        <f t="shared" si="570"/>
        <v>-0.79958943324112819</v>
      </c>
      <c r="X667">
        <f t="shared" si="548"/>
        <v>-47.956868488077795</v>
      </c>
      <c r="Y667">
        <f t="shared" si="549"/>
        <v>-135.77635857879133</v>
      </c>
      <c r="Z667">
        <f t="shared" si="579"/>
        <v>44.223641421208669</v>
      </c>
      <c r="AC667">
        <v>1</v>
      </c>
      <c r="AD667">
        <f t="shared" si="550"/>
        <v>2696.4666706068001</v>
      </c>
      <c r="AE667">
        <f t="shared" si="551"/>
        <v>-0.15417583769493895</v>
      </c>
      <c r="AF667">
        <f t="shared" si="552"/>
        <v>0.14986088090883001</v>
      </c>
      <c r="AG667">
        <f t="shared" si="553"/>
        <v>8737.9199966855813</v>
      </c>
      <c r="AH667">
        <f t="shared" si="554"/>
        <v>-8996.18450808747</v>
      </c>
      <c r="AJ667">
        <f t="shared" si="571"/>
        <v>18000</v>
      </c>
      <c r="AK667">
        <f t="shared" si="555"/>
        <v>6113363.3677115999</v>
      </c>
      <c r="AL667">
        <v>42</v>
      </c>
      <c r="AM667">
        <f t="shared" si="556"/>
        <v>3735.9442802681997</v>
      </c>
      <c r="AN667">
        <f t="shared" si="557"/>
        <v>1636.2110080385426</v>
      </c>
      <c r="AO667">
        <f t="shared" si="558"/>
        <v>13.57645043195815</v>
      </c>
      <c r="AQ667">
        <f t="shared" si="559"/>
        <v>3.018959053800993E-5</v>
      </c>
      <c r="AR667">
        <f t="shared" si="560"/>
        <v>-0.54945054779178071</v>
      </c>
      <c r="AT667">
        <f t="shared" si="561"/>
        <v>-4942.6947117777381</v>
      </c>
      <c r="AU667">
        <f t="shared" si="562"/>
        <v>-4801.3265198663503</v>
      </c>
      <c r="AV667">
        <f t="shared" si="580"/>
        <v>-2.3707016706512816</v>
      </c>
      <c r="AW667">
        <f t="shared" si="581"/>
        <v>21396.319748340451</v>
      </c>
      <c r="AX667">
        <f t="shared" si="582"/>
        <v>-21035.186351375534</v>
      </c>
      <c r="AY667">
        <f t="shared" si="590"/>
        <v>-0.77688739602733348</v>
      </c>
      <c r="BA667">
        <f t="shared" si="572"/>
        <v>0.2296570318179493</v>
      </c>
      <c r="BB667">
        <f t="shared" si="583"/>
        <v>-12.778405049512521</v>
      </c>
      <c r="BC667">
        <f t="shared" si="584"/>
        <v>-1.5938142746239481</v>
      </c>
      <c r="BD667">
        <f t="shared" si="573"/>
        <v>-271.31883136800394</v>
      </c>
      <c r="BF667">
        <f t="shared" si="574"/>
        <v>-78.424446088459263</v>
      </c>
      <c r="BG667">
        <f t="shared" si="575"/>
        <v>-181.41420475912639</v>
      </c>
      <c r="BH667">
        <f t="shared" si="585"/>
        <v>-1.4142047591263918</v>
      </c>
      <c r="BI667">
        <f t="shared" si="586"/>
        <v>-1.4142047591263918</v>
      </c>
      <c r="BJ667">
        <f t="shared" si="576"/>
        <v>0</v>
      </c>
      <c r="BK667">
        <f t="shared" si="587"/>
        <v>0</v>
      </c>
      <c r="BM667">
        <f t="shared" si="588"/>
        <v>-65.646041038946748</v>
      </c>
      <c r="BN667">
        <f t="shared" si="577"/>
        <v>-90.095373391122436</v>
      </c>
      <c r="BQ667" s="66">
        <f t="shared" si="589"/>
        <v>4.1235557507726135</v>
      </c>
    </row>
    <row r="668" spans="1:69" x14ac:dyDescent="0.2">
      <c r="A668">
        <f t="shared" si="563"/>
        <v>9200000</v>
      </c>
      <c r="B668">
        <f t="shared" si="578"/>
        <v>9200</v>
      </c>
      <c r="C668">
        <f t="shared" si="539"/>
        <v>572.27339083294714</v>
      </c>
      <c r="D668">
        <f t="shared" si="540"/>
        <v>1.5690489093455968</v>
      </c>
      <c r="F668">
        <f t="shared" si="541"/>
        <v>6.015291609515479E-8</v>
      </c>
      <c r="G668">
        <f t="shared" si="542"/>
        <v>1.0092920002567567E-4</v>
      </c>
      <c r="H668">
        <f t="shared" si="564"/>
        <v>-3.1414917207999746</v>
      </c>
      <c r="J668">
        <f t="shared" si="565"/>
        <v>15</v>
      </c>
      <c r="M668">
        <f t="shared" si="543"/>
        <v>3.6668469108150164E-4</v>
      </c>
      <c r="N668">
        <f t="shared" si="566"/>
        <v>-1.5707963250000001</v>
      </c>
      <c r="O668">
        <f t="shared" si="544"/>
        <v>2726.0983558939174</v>
      </c>
      <c r="P668">
        <f t="shared" si="567"/>
        <v>1.5704295021642796</v>
      </c>
      <c r="Q668">
        <f t="shared" si="545"/>
        <v>3776.9987453986423</v>
      </c>
      <c r="R668">
        <f t="shared" si="568"/>
        <v>1.570531566312013</v>
      </c>
      <c r="S668">
        <f t="shared" si="546"/>
        <v>2.9123530286947956E-3</v>
      </c>
      <c r="T668">
        <f t="shared" si="569"/>
        <v>-1.5678839696491866</v>
      </c>
      <c r="U668">
        <f t="shared" si="547"/>
        <v>0.69307460726210901</v>
      </c>
      <c r="V668">
        <f t="shared" si="570"/>
        <v>-0.8050508120254708</v>
      </c>
      <c r="X668">
        <f t="shared" si="548"/>
        <v>-48.100867129082907</v>
      </c>
      <c r="Y668">
        <f t="shared" si="549"/>
        <v>-136.08967188584862</v>
      </c>
      <c r="Z668">
        <f t="shared" si="579"/>
        <v>43.910328114151383</v>
      </c>
      <c r="AC668">
        <v>1</v>
      </c>
      <c r="AD668">
        <f t="shared" si="550"/>
        <v>2726.0981724816002</v>
      </c>
      <c r="AE668">
        <f t="shared" si="551"/>
        <v>-0.15758293566597797</v>
      </c>
      <c r="AF668">
        <f t="shared" si="552"/>
        <v>0.15150770377595998</v>
      </c>
      <c r="AG668">
        <f t="shared" si="553"/>
        <v>8639.74691688233</v>
      </c>
      <c r="AH668">
        <f t="shared" si="554"/>
        <v>-8992.7881461931756</v>
      </c>
      <c r="AJ668">
        <f t="shared" si="571"/>
        <v>18000</v>
      </c>
      <c r="AK668">
        <f t="shared" si="555"/>
        <v>6180543.1849392001</v>
      </c>
      <c r="AL668">
        <v>43</v>
      </c>
      <c r="AM668">
        <f t="shared" si="556"/>
        <v>3776.9986130183997</v>
      </c>
      <c r="AN668">
        <f t="shared" si="557"/>
        <v>1636.2058213499668</v>
      </c>
      <c r="AO668">
        <f t="shared" si="558"/>
        <v>13.862025296378762</v>
      </c>
      <c r="AQ668">
        <f t="shared" si="559"/>
        <v>2.9536861916538098E-5</v>
      </c>
      <c r="AR668">
        <f t="shared" si="560"/>
        <v>-0.54347825926430093</v>
      </c>
      <c r="AT668">
        <f t="shared" si="561"/>
        <v>-4887.129656614029</v>
      </c>
      <c r="AU668">
        <f t="shared" si="562"/>
        <v>-4695.780233613038</v>
      </c>
      <c r="AV668">
        <f t="shared" si="580"/>
        <v>-2.3761596156249514</v>
      </c>
      <c r="AW668">
        <f t="shared" si="581"/>
        <v>21177.40193077127</v>
      </c>
      <c r="AX668">
        <f t="shared" si="582"/>
        <v>-21016.582389928502</v>
      </c>
      <c r="AY668">
        <f t="shared" si="590"/>
        <v>-0.78158674893409041</v>
      </c>
      <c r="BA668">
        <f t="shared" si="572"/>
        <v>0.22715917083731826</v>
      </c>
      <c r="BB668">
        <f t="shared" si="583"/>
        <v>-12.87339450442331</v>
      </c>
      <c r="BC668">
        <f t="shared" si="584"/>
        <v>-1.594572866690861</v>
      </c>
      <c r="BD668">
        <f t="shared" si="573"/>
        <v>-271.36229549185981</v>
      </c>
      <c r="BF668">
        <f t="shared" si="574"/>
        <v>-78.614364547578234</v>
      </c>
      <c r="BG668">
        <f t="shared" si="575"/>
        <v>-181.45663221682892</v>
      </c>
      <c r="BH668">
        <f t="shared" si="585"/>
        <v>-1.4566322168289219</v>
      </c>
      <c r="BI668">
        <f t="shared" si="586"/>
        <v>-1.4566322168289219</v>
      </c>
      <c r="BJ668">
        <f t="shared" si="576"/>
        <v>0</v>
      </c>
      <c r="BK668">
        <f t="shared" si="587"/>
        <v>0</v>
      </c>
      <c r="BM668">
        <f t="shared" si="588"/>
        <v>-65.740970043154917</v>
      </c>
      <c r="BN668">
        <f t="shared" si="577"/>
        <v>-90.094336724969097</v>
      </c>
      <c r="BQ668" s="66">
        <f t="shared" si="589"/>
        <v>4.0285662958618271</v>
      </c>
    </row>
    <row r="669" spans="1:69" x14ac:dyDescent="0.2">
      <c r="A669">
        <f t="shared" si="563"/>
        <v>9300000</v>
      </c>
      <c r="B669">
        <f t="shared" si="578"/>
        <v>9300</v>
      </c>
      <c r="C669">
        <f t="shared" si="539"/>
        <v>578.49373488524134</v>
      </c>
      <c r="D669">
        <f t="shared" si="540"/>
        <v>1.5690676987429015</v>
      </c>
      <c r="F669">
        <f t="shared" si="541"/>
        <v>5.8866259824745709E-8</v>
      </c>
      <c r="G669">
        <f t="shared" si="542"/>
        <v>9.984393968804397E-5</v>
      </c>
      <c r="H669">
        <f t="shared" si="564"/>
        <v>-3.1414928060603122</v>
      </c>
      <c r="J669">
        <f t="shared" si="565"/>
        <v>15</v>
      </c>
      <c r="M669">
        <f t="shared" si="543"/>
        <v>3.6274184494084036E-4</v>
      </c>
      <c r="N669">
        <f t="shared" si="566"/>
        <v>-1.5707963250000001</v>
      </c>
      <c r="O669">
        <f t="shared" si="544"/>
        <v>2755.7298557965423</v>
      </c>
      <c r="P669">
        <f t="shared" si="567"/>
        <v>1.5704334465147982</v>
      </c>
      <c r="Q669">
        <f t="shared" si="545"/>
        <v>3818.053076725399</v>
      </c>
      <c r="R669">
        <f t="shared" si="568"/>
        <v>1.5705344131987946</v>
      </c>
      <c r="S669">
        <f t="shared" si="546"/>
        <v>2.8810376660745123E-3</v>
      </c>
      <c r="T669">
        <f t="shared" si="569"/>
        <v>-1.5679152851431903</v>
      </c>
      <c r="U669">
        <f t="shared" si="547"/>
        <v>0.68917182305478286</v>
      </c>
      <c r="V669">
        <f t="shared" si="570"/>
        <v>-0.81045084304409376</v>
      </c>
      <c r="X669">
        <f t="shared" si="548"/>
        <v>-48.243818570869237</v>
      </c>
      <c r="Y669">
        <f t="shared" si="549"/>
        <v>-136.39946163688609</v>
      </c>
      <c r="Z669">
        <f t="shared" si="579"/>
        <v>43.600538363113913</v>
      </c>
      <c r="AC669">
        <v>1</v>
      </c>
      <c r="AD669">
        <f t="shared" si="550"/>
        <v>2755.7296743564002</v>
      </c>
      <c r="AE669">
        <f t="shared" si="551"/>
        <v>-0.16102726968041628</v>
      </c>
      <c r="AF669">
        <f t="shared" si="552"/>
        <v>0.15315452664309001</v>
      </c>
      <c r="AG669">
        <f t="shared" si="553"/>
        <v>8542.7180271724319</v>
      </c>
      <c r="AH669">
        <f t="shared" si="554"/>
        <v>-8988.3765745513374</v>
      </c>
      <c r="AJ669">
        <f t="shared" si="571"/>
        <v>18000</v>
      </c>
      <c r="AK669">
        <f t="shared" si="555"/>
        <v>6247723.0021667993</v>
      </c>
      <c r="AL669">
        <v>44</v>
      </c>
      <c r="AM669">
        <f t="shared" si="556"/>
        <v>3818.0529457685998</v>
      </c>
      <c r="AN669">
        <f t="shared" si="557"/>
        <v>1636.2006674128129</v>
      </c>
      <c r="AO669">
        <f t="shared" si="558"/>
        <v>14.141456426370915</v>
      </c>
      <c r="AQ669">
        <f t="shared" si="559"/>
        <v>2.8905075647748077E-5</v>
      </c>
      <c r="AR669">
        <f t="shared" si="560"/>
        <v>-0.53763440704811416</v>
      </c>
      <c r="AT669">
        <f t="shared" si="561"/>
        <v>-4832.2135820732547</v>
      </c>
      <c r="AU669">
        <f t="shared" si="562"/>
        <v>-4593.1189508229236</v>
      </c>
      <c r="AV669">
        <f t="shared" si="580"/>
        <v>-2.38155628667828</v>
      </c>
      <c r="AW669">
        <f t="shared" si="581"/>
        <v>20960.999923030606</v>
      </c>
      <c r="AX669">
        <f t="shared" si="582"/>
        <v>-20995.981514892992</v>
      </c>
      <c r="AY669">
        <f t="shared" si="590"/>
        <v>-0.78623191221725974</v>
      </c>
      <c r="BA669">
        <f t="shared" si="572"/>
        <v>0.22471495875029951</v>
      </c>
      <c r="BB669">
        <f t="shared" si="583"/>
        <v>-12.9673603329723</v>
      </c>
      <c r="BC669">
        <f t="shared" si="584"/>
        <v>-1.5953243744610202</v>
      </c>
      <c r="BD669">
        <f t="shared" si="573"/>
        <v>-271.40535371541046</v>
      </c>
      <c r="BF669">
        <f t="shared" si="574"/>
        <v>-78.80223309426917</v>
      </c>
      <c r="BG669">
        <f t="shared" si="575"/>
        <v>-181.49867606805023</v>
      </c>
      <c r="BH669">
        <f t="shared" si="585"/>
        <v>-1.49867606805023</v>
      </c>
      <c r="BI669">
        <f t="shared" si="586"/>
        <v>-1.49867606805023</v>
      </c>
      <c r="BJ669">
        <f t="shared" si="576"/>
        <v>0</v>
      </c>
      <c r="BK669">
        <f t="shared" si="587"/>
        <v>0</v>
      </c>
      <c r="BM669">
        <f t="shared" si="588"/>
        <v>-65.834872761296864</v>
      </c>
      <c r="BN669">
        <f t="shared" si="577"/>
        <v>-90.093322352639802</v>
      </c>
      <c r="BQ669" s="66">
        <f t="shared" si="589"/>
        <v>3.9346004673128365</v>
      </c>
    </row>
    <row r="670" spans="1:69" x14ac:dyDescent="0.2">
      <c r="A670">
        <f t="shared" si="563"/>
        <v>9400000</v>
      </c>
      <c r="B670">
        <f t="shared" si="578"/>
        <v>9400</v>
      </c>
      <c r="C670">
        <f t="shared" si="539"/>
        <v>584.71407913742246</v>
      </c>
      <c r="D670">
        <f t="shared" si="540"/>
        <v>1.5690860883669777</v>
      </c>
      <c r="F670">
        <f t="shared" si="541"/>
        <v>5.762044823882661E-8</v>
      </c>
      <c r="G670">
        <f t="shared" si="542"/>
        <v>9.8781769999734968E-5</v>
      </c>
      <c r="H670">
        <f t="shared" si="564"/>
        <v>-3.1414938682300004</v>
      </c>
      <c r="J670">
        <f t="shared" si="565"/>
        <v>15</v>
      </c>
      <c r="M670">
        <f t="shared" si="543"/>
        <v>3.5888288914359738E-4</v>
      </c>
      <c r="N670">
        <f t="shared" si="566"/>
        <v>-1.5707963250000001</v>
      </c>
      <c r="O670">
        <f t="shared" si="544"/>
        <v>2785.3613557411281</v>
      </c>
      <c r="P670">
        <f t="shared" si="567"/>
        <v>1.5704373069429765</v>
      </c>
      <c r="Q670">
        <f t="shared" si="545"/>
        <v>3859.1074080824419</v>
      </c>
      <c r="R670">
        <f t="shared" si="568"/>
        <v>1.5705371995135216</v>
      </c>
      <c r="S670">
        <f t="shared" si="546"/>
        <v>2.8503885795572981E-3</v>
      </c>
      <c r="T670">
        <f t="shared" si="569"/>
        <v>-1.5679459343555593</v>
      </c>
      <c r="U670">
        <f t="shared" si="547"/>
        <v>0.68529309818773465</v>
      </c>
      <c r="V670">
        <f t="shared" si="570"/>
        <v>-0.81579024452654914</v>
      </c>
      <c r="X670">
        <f t="shared" si="548"/>
        <v>-48.385739311822903</v>
      </c>
      <c r="Y670">
        <f t="shared" si="549"/>
        <v>-136.70576925749873</v>
      </c>
      <c r="Z670">
        <f t="shared" si="579"/>
        <v>43.29423074250127</v>
      </c>
      <c r="AC670">
        <v>1</v>
      </c>
      <c r="AD670">
        <f t="shared" si="550"/>
        <v>2785.3611762312003</v>
      </c>
      <c r="AE670">
        <f t="shared" si="551"/>
        <v>-0.16450883973825389</v>
      </c>
      <c r="AF670">
        <f t="shared" si="552"/>
        <v>0.15480134951022001</v>
      </c>
      <c r="AG670">
        <f t="shared" si="553"/>
        <v>8446.8301551498098</v>
      </c>
      <c r="AH670">
        <f t="shared" si="554"/>
        <v>-8982.9851786788477</v>
      </c>
      <c r="AJ670">
        <f t="shared" si="571"/>
        <v>18000</v>
      </c>
      <c r="AK670">
        <f t="shared" si="555"/>
        <v>6314902.8193943994</v>
      </c>
      <c r="AL670">
        <v>45</v>
      </c>
      <c r="AM670">
        <f t="shared" si="556"/>
        <v>3859.1072785187998</v>
      </c>
      <c r="AN670">
        <f t="shared" si="557"/>
        <v>1636.1955476709613</v>
      </c>
      <c r="AO670">
        <f t="shared" si="558"/>
        <v>14.41493994086235</v>
      </c>
      <c r="AQ670">
        <f t="shared" si="559"/>
        <v>2.8293345325109367E-5</v>
      </c>
      <c r="AR670">
        <f t="shared" si="560"/>
        <v>-0.53191489211205611</v>
      </c>
      <c r="AT670">
        <f t="shared" si="561"/>
        <v>-4777.9446030786758</v>
      </c>
      <c r="AU670">
        <f t="shared" si="562"/>
        <v>-4493.2489093670838</v>
      </c>
      <c r="AV670">
        <f t="shared" si="580"/>
        <v>-2.3868923996840543</v>
      </c>
      <c r="AW670">
        <f t="shared" si="581"/>
        <v>20747.107984151095</v>
      </c>
      <c r="AX670">
        <f t="shared" si="582"/>
        <v>-20973.453126638455</v>
      </c>
      <c r="AY670">
        <f t="shared" si="590"/>
        <v>-0.79082337618916376</v>
      </c>
      <c r="BA670">
        <f t="shared" si="572"/>
        <v>0.22232268423080692</v>
      </c>
      <c r="BB670">
        <f t="shared" si="583"/>
        <v>-13.060324454193557</v>
      </c>
      <c r="BC670">
        <f t="shared" si="584"/>
        <v>-1.5960690234948904</v>
      </c>
      <c r="BD670">
        <f t="shared" si="573"/>
        <v>-271.44801896231843</v>
      </c>
      <c r="BF670">
        <f t="shared" si="574"/>
        <v>-78.988095601047903</v>
      </c>
      <c r="BG670">
        <f t="shared" si="575"/>
        <v>-181.54034852495096</v>
      </c>
      <c r="BH670">
        <f t="shared" si="585"/>
        <v>-1.5403485249509572</v>
      </c>
      <c r="BI670">
        <f t="shared" si="586"/>
        <v>-1.5403485249509572</v>
      </c>
      <c r="BJ670">
        <f t="shared" si="576"/>
        <v>0</v>
      </c>
      <c r="BK670">
        <f t="shared" si="587"/>
        <v>0</v>
      </c>
      <c r="BM670">
        <f t="shared" si="588"/>
        <v>-65.92777114685434</v>
      </c>
      <c r="BN670">
        <f t="shared" si="577"/>
        <v>-90.092329562632543</v>
      </c>
      <c r="BQ670" s="66">
        <f t="shared" si="589"/>
        <v>3.8416363460915806</v>
      </c>
    </row>
    <row r="671" spans="1:69" x14ac:dyDescent="0.2">
      <c r="A671">
        <f t="shared" si="563"/>
        <v>9500000</v>
      </c>
      <c r="B671">
        <f t="shared" si="578"/>
        <v>9500</v>
      </c>
      <c r="C671">
        <f t="shared" si="539"/>
        <v>590.93442358317839</v>
      </c>
      <c r="D671">
        <f t="shared" si="540"/>
        <v>1.5691040908421936</v>
      </c>
      <c r="F671">
        <f t="shared" si="541"/>
        <v>5.6413770644955613E-8</v>
      </c>
      <c r="G671">
        <f t="shared" si="542"/>
        <v>9.7741961782189763E-5</v>
      </c>
      <c r="H671">
        <f t="shared" si="564"/>
        <v>-3.1414949080382182</v>
      </c>
      <c r="J671">
        <f t="shared" si="565"/>
        <v>15</v>
      </c>
      <c r="M671">
        <f t="shared" si="543"/>
        <v>3.5510517452103319E-4</v>
      </c>
      <c r="N671">
        <f t="shared" si="566"/>
        <v>-1.5707963250000001</v>
      </c>
      <c r="O671">
        <f t="shared" si="544"/>
        <v>2814.9928557263502</v>
      </c>
      <c r="P671">
        <f t="shared" si="567"/>
        <v>1.5704410860989928</v>
      </c>
      <c r="Q671">
        <f t="shared" si="545"/>
        <v>3900.1617394688142</v>
      </c>
      <c r="R671">
        <f t="shared" si="568"/>
        <v>1.5705399271689946</v>
      </c>
      <c r="S671">
        <f t="shared" si="546"/>
        <v>2.8203847291853154E-3</v>
      </c>
      <c r="T671">
        <f t="shared" si="569"/>
        <v>-1.5679759383265399</v>
      </c>
      <c r="U671">
        <f t="shared" si="547"/>
        <v>0.68143868664206853</v>
      </c>
      <c r="V671">
        <f t="shared" si="570"/>
        <v>-0.82106973249476289</v>
      </c>
      <c r="X671">
        <f t="shared" si="548"/>
        <v>-48.52664534451138</v>
      </c>
      <c r="Y671">
        <f t="shared" si="549"/>
        <v>-137.00863603525465</v>
      </c>
      <c r="Z671">
        <f t="shared" si="579"/>
        <v>42.991363964745346</v>
      </c>
      <c r="AC671">
        <v>1</v>
      </c>
      <c r="AD671">
        <f t="shared" si="550"/>
        <v>2814.9926781060003</v>
      </c>
      <c r="AE671">
        <f t="shared" si="551"/>
        <v>-0.1680276458394909</v>
      </c>
      <c r="AF671">
        <f t="shared" si="552"/>
        <v>0.15644817237735001</v>
      </c>
      <c r="AG671">
        <f t="shared" si="553"/>
        <v>8352.0794558481211</v>
      </c>
      <c r="AH671">
        <f t="shared" si="554"/>
        <v>-8976.6484803874682</v>
      </c>
      <c r="AJ671">
        <f t="shared" si="571"/>
        <v>18000</v>
      </c>
      <c r="AK671">
        <f t="shared" si="555"/>
        <v>6382082.6366219996</v>
      </c>
      <c r="AL671">
        <v>46</v>
      </c>
      <c r="AM671">
        <f t="shared" si="556"/>
        <v>3900.1616112689999</v>
      </c>
      <c r="AN671">
        <f t="shared" si="557"/>
        <v>1636.1904634037571</v>
      </c>
      <c r="AO671">
        <f t="shared" si="558"/>
        <v>14.682663700682017</v>
      </c>
      <c r="AQ671">
        <f t="shared" si="559"/>
        <v>2.7700830948197144E-5</v>
      </c>
      <c r="AR671">
        <f t="shared" si="560"/>
        <v>-0.52631578801574574</v>
      </c>
      <c r="AT671">
        <f t="shared" si="561"/>
        <v>-4724.3204591544045</v>
      </c>
      <c r="AU671">
        <f t="shared" si="562"/>
        <v>-4396.0799409968613</v>
      </c>
      <c r="AV671">
        <f t="shared" si="580"/>
        <v>-2.3921686684066641</v>
      </c>
      <c r="AW671">
        <f t="shared" si="581"/>
        <v>20535.718830699279</v>
      </c>
      <c r="AX671">
        <f t="shared" si="582"/>
        <v>-20949.065122912521</v>
      </c>
      <c r="AY671">
        <f t="shared" si="590"/>
        <v>-0.79536163855597253</v>
      </c>
      <c r="BA671">
        <f t="shared" si="572"/>
        <v>0.21998070797201769</v>
      </c>
      <c r="BB671">
        <f t="shared" si="583"/>
        <v>-13.15230809161725</v>
      </c>
      <c r="BC671">
        <f t="shared" si="584"/>
        <v>-1.5968070298506916</v>
      </c>
      <c r="BD671">
        <f t="shared" si="573"/>
        <v>-271.49030361180803</v>
      </c>
      <c r="BF671">
        <f t="shared" si="574"/>
        <v>-79.171994547955492</v>
      </c>
      <c r="BG671">
        <f t="shared" si="575"/>
        <v>-181.58166128521111</v>
      </c>
      <c r="BH671">
        <f t="shared" si="585"/>
        <v>-1.581661285211112</v>
      </c>
      <c r="BI671">
        <f t="shared" si="586"/>
        <v>-1.581661285211112</v>
      </c>
      <c r="BJ671">
        <f t="shared" si="576"/>
        <v>0</v>
      </c>
      <c r="BK671">
        <f t="shared" si="587"/>
        <v>0</v>
      </c>
      <c r="BM671">
        <f t="shared" si="588"/>
        <v>-66.019686456338235</v>
      </c>
      <c r="BN671">
        <f t="shared" si="577"/>
        <v>-90.091357673403138</v>
      </c>
      <c r="BQ671" s="66">
        <f t="shared" si="589"/>
        <v>3.7496527086678846</v>
      </c>
    </row>
    <row r="672" spans="1:69" x14ac:dyDescent="0.2">
      <c r="A672">
        <f t="shared" si="563"/>
        <v>9600000</v>
      </c>
      <c r="B672">
        <f t="shared" si="578"/>
        <v>9600</v>
      </c>
      <c r="C672">
        <f t="shared" si="539"/>
        <v>597.15476821645973</v>
      </c>
      <c r="D672">
        <f t="shared" si="540"/>
        <v>1.5691217182669057</v>
      </c>
      <c r="F672">
        <f t="shared" si="541"/>
        <v>5.5244604982727886E-8</v>
      </c>
      <c r="G672">
        <f t="shared" si="542"/>
        <v>9.6723816239297684E-5</v>
      </c>
      <c r="H672">
        <f t="shared" si="564"/>
        <v>-3.1414959261837607</v>
      </c>
      <c r="J672">
        <f t="shared" si="565"/>
        <v>15</v>
      </c>
      <c r="M672">
        <f t="shared" si="543"/>
        <v>3.5140616228643908E-4</v>
      </c>
      <c r="N672">
        <f t="shared" si="566"/>
        <v>-1.5707963250000001</v>
      </c>
      <c r="O672">
        <f t="shared" si="544"/>
        <v>2844.6243557509383</v>
      </c>
      <c r="P672">
        <f t="shared" si="567"/>
        <v>1.5704447865226019</v>
      </c>
      <c r="Q672">
        <f t="shared" si="545"/>
        <v>3941.2160708835991</v>
      </c>
      <c r="R672">
        <f t="shared" si="568"/>
        <v>1.5705425979983159</v>
      </c>
      <c r="S672">
        <f t="shared" si="546"/>
        <v>2.7910059516481939E-3</v>
      </c>
      <c r="T672">
        <f t="shared" si="569"/>
        <v>-1.5680053172197126</v>
      </c>
      <c r="U672">
        <f t="shared" si="547"/>
        <v>0.67760881968596065</v>
      </c>
      <c r="V672">
        <f t="shared" si="570"/>
        <v>-0.82629002035339327</v>
      </c>
      <c r="X672">
        <f t="shared" si="548"/>
        <v>-48.666552180165851</v>
      </c>
      <c r="Y672">
        <f t="shared" si="549"/>
        <v>-137.30810309682502</v>
      </c>
      <c r="Z672">
        <f t="shared" si="579"/>
        <v>42.691896903174978</v>
      </c>
      <c r="AC672">
        <v>1</v>
      </c>
      <c r="AD672">
        <f t="shared" si="550"/>
        <v>2844.6241799808004</v>
      </c>
      <c r="AE672">
        <f t="shared" si="551"/>
        <v>-0.17158368798412721</v>
      </c>
      <c r="AF672">
        <f t="shared" si="552"/>
        <v>0.15809499524448001</v>
      </c>
      <c r="AG672">
        <f t="shared" si="553"/>
        <v>8258.4614531577063</v>
      </c>
      <c r="AH672">
        <f t="shared" si="554"/>
        <v>-8969.4001446074544</v>
      </c>
      <c r="AJ672">
        <f t="shared" si="571"/>
        <v>18000</v>
      </c>
      <c r="AK672">
        <f t="shared" si="555"/>
        <v>6449262.4538495997</v>
      </c>
      <c r="AL672">
        <v>47</v>
      </c>
      <c r="AM672">
        <f t="shared" si="556"/>
        <v>3941.2159440191995</v>
      </c>
      <c r="AN672">
        <f t="shared" si="557"/>
        <v>1636.1854157399271</v>
      </c>
      <c r="AO672">
        <f t="shared" si="558"/>
        <v>14.944807738626576</v>
      </c>
      <c r="AQ672">
        <f t="shared" si="559"/>
        <v>2.7126736037525129E-5</v>
      </c>
      <c r="AR672">
        <f t="shared" si="560"/>
        <v>-0.52083333192048253</v>
      </c>
      <c r="AT672">
        <f t="shared" si="561"/>
        <v>-4671.338537540043</v>
      </c>
      <c r="AU672">
        <f t="shared" si="562"/>
        <v>-4301.5253057351356</v>
      </c>
      <c r="AV672">
        <f t="shared" si="580"/>
        <v>-2.3973858040872984</v>
      </c>
      <c r="AW672">
        <f t="shared" si="581"/>
        <v>20326.82373052615</v>
      </c>
      <c r="AX672">
        <f t="shared" si="582"/>
        <v>-20922.883891864229</v>
      </c>
      <c r="AY672">
        <f t="shared" si="590"/>
        <v>-0.79984720350809402</v>
      </c>
      <c r="BA672">
        <f t="shared" si="572"/>
        <v>0.21768745893728222</v>
      </c>
      <c r="BB672">
        <f t="shared" si="583"/>
        <v>-13.243331802386241</v>
      </c>
      <c r="BC672">
        <f t="shared" si="584"/>
        <v>-1.5975386005792043</v>
      </c>
      <c r="BD672">
        <f t="shared" si="573"/>
        <v>-271.532219527015</v>
      </c>
      <c r="BF672">
        <f t="shared" si="574"/>
        <v>-79.353971080869115</v>
      </c>
      <c r="BG672">
        <f t="shared" si="575"/>
        <v>-181.62262555881986</v>
      </c>
      <c r="BH672">
        <f t="shared" si="585"/>
        <v>-1.6226255588198626</v>
      </c>
      <c r="BI672">
        <f t="shared" si="586"/>
        <v>-1.6226255588198626</v>
      </c>
      <c r="BJ672">
        <f t="shared" si="576"/>
        <v>0</v>
      </c>
      <c r="BK672">
        <f t="shared" si="587"/>
        <v>0</v>
      </c>
      <c r="BM672">
        <f t="shared" si="588"/>
        <v>-66.110639278482864</v>
      </c>
      <c r="BN672">
        <f t="shared" si="577"/>
        <v>-90.090406031804889</v>
      </c>
      <c r="BQ672" s="66">
        <f t="shared" si="589"/>
        <v>3.6586289978988962</v>
      </c>
    </row>
    <row r="673" spans="1:69" x14ac:dyDescent="0.2">
      <c r="A673">
        <f t="shared" si="563"/>
        <v>9700000</v>
      </c>
      <c r="B673">
        <f t="shared" si="578"/>
        <v>9700</v>
      </c>
      <c r="C673">
        <f t="shared" si="539"/>
        <v>603.37511303146687</v>
      </c>
      <c r="D673">
        <f t="shared" si="540"/>
        <v>1.5691389822405704</v>
      </c>
      <c r="F673">
        <f t="shared" si="541"/>
        <v>5.411141236984118E-8</v>
      </c>
      <c r="G673">
        <f t="shared" si="542"/>
        <v>9.5726663391289992E-5</v>
      </c>
      <c r="H673">
        <f t="shared" si="564"/>
        <v>-3.141496923336609</v>
      </c>
      <c r="J673">
        <f t="shared" si="565"/>
        <v>15</v>
      </c>
      <c r="M673">
        <f t="shared" si="543"/>
        <v>3.4778341834534177E-4</v>
      </c>
      <c r="N673">
        <f t="shared" si="566"/>
        <v>-1.5707963250000001</v>
      </c>
      <c r="O673">
        <f t="shared" si="544"/>
        <v>2874.2558558136752</v>
      </c>
      <c r="P673">
        <f t="shared" si="567"/>
        <v>1.5704484106488266</v>
      </c>
      <c r="Q673">
        <f t="shared" si="545"/>
        <v>3982.2704023259184</v>
      </c>
      <c r="R673">
        <f t="shared" si="568"/>
        <v>1.5705452137589948</v>
      </c>
      <c r="S673">
        <f t="shared" si="546"/>
        <v>2.7622329150960839E-3</v>
      </c>
      <c r="T673">
        <f t="shared" si="569"/>
        <v>-1.5680340903671808</v>
      </c>
      <c r="U673">
        <f t="shared" si="547"/>
        <v>0.67380370678343271</v>
      </c>
      <c r="V673">
        <f t="shared" si="570"/>
        <v>-0.83145181850571381</v>
      </c>
      <c r="X673">
        <f t="shared" si="548"/>
        <v>-48.805474871691686</v>
      </c>
      <c r="Y673">
        <f t="shared" si="549"/>
        <v>-137.6042113865399</v>
      </c>
      <c r="Z673">
        <f t="shared" si="579"/>
        <v>42.395788613460098</v>
      </c>
      <c r="AC673">
        <v>1</v>
      </c>
      <c r="AD673">
        <f t="shared" si="550"/>
        <v>2874.2556818556</v>
      </c>
      <c r="AE673">
        <f t="shared" si="551"/>
        <v>-0.17517696617216286</v>
      </c>
      <c r="AF673">
        <f t="shared" si="552"/>
        <v>0.15974181811161001</v>
      </c>
      <c r="AG673">
        <f t="shared" si="553"/>
        <v>8165.971079630277</v>
      </c>
      <c r="AH673">
        <f t="shared" si="554"/>
        <v>-8961.2729872592627</v>
      </c>
      <c r="AJ673">
        <f t="shared" si="571"/>
        <v>18000</v>
      </c>
      <c r="AK673">
        <f t="shared" si="555"/>
        <v>6516442.2710771998</v>
      </c>
      <c r="AL673">
        <v>48</v>
      </c>
      <c r="AM673">
        <f t="shared" si="556"/>
        <v>3982.2702767694004</v>
      </c>
      <c r="AN673">
        <f t="shared" si="557"/>
        <v>1636.1804056703111</v>
      </c>
      <c r="AO673">
        <f t="shared" si="558"/>
        <v>15.201544662931575</v>
      </c>
      <c r="AQ673">
        <f t="shared" si="559"/>
        <v>2.65703049565036E-5</v>
      </c>
      <c r="AR673">
        <f t="shared" si="560"/>
        <v>-0.51546391615616982</v>
      </c>
      <c r="AT673">
        <f t="shared" si="561"/>
        <v>-4618.9958954153062</v>
      </c>
      <c r="AU673">
        <f t="shared" si="562"/>
        <v>-4209.5015356803187</v>
      </c>
      <c r="AV673">
        <f t="shared" si="580"/>
        <v>-2.4025445150549736</v>
      </c>
      <c r="AW673">
        <f t="shared" si="581"/>
        <v>20120.412592860288</v>
      </c>
      <c r="AX673">
        <f t="shared" si="582"/>
        <v>-20894.974308746991</v>
      </c>
      <c r="AY673">
        <f t="shared" si="590"/>
        <v>-0.8042805808670036</v>
      </c>
      <c r="BA673">
        <f t="shared" si="572"/>
        <v>0.21544143084281642</v>
      </c>
      <c r="BB673">
        <f t="shared" si="583"/>
        <v>-13.333415504864812</v>
      </c>
      <c r="BC673">
        <f t="shared" si="584"/>
        <v>-1.5982639341879699</v>
      </c>
      <c r="BD673">
        <f t="shared" si="573"/>
        <v>-271.57377808158373</v>
      </c>
      <c r="BF673">
        <f t="shared" si="574"/>
        <v>-79.534065066792351</v>
      </c>
      <c r="BG673">
        <f t="shared" si="575"/>
        <v>-181.66325209320865</v>
      </c>
      <c r="BH673">
        <f t="shared" si="585"/>
        <v>-1.663252093208655</v>
      </c>
      <c r="BI673">
        <f t="shared" si="586"/>
        <v>-1.663252093208655</v>
      </c>
      <c r="BJ673">
        <f t="shared" si="576"/>
        <v>0</v>
      </c>
      <c r="BK673">
        <f t="shared" si="587"/>
        <v>0</v>
      </c>
      <c r="BM673">
        <f t="shared" si="588"/>
        <v>-66.200649561927548</v>
      </c>
      <c r="BN673">
        <f t="shared" si="577"/>
        <v>-90.089474011624944</v>
      </c>
      <c r="BQ673" s="66">
        <f t="shared" si="589"/>
        <v>3.5685452954203258</v>
      </c>
    </row>
    <row r="674" spans="1:69" x14ac:dyDescent="0.2">
      <c r="A674">
        <f t="shared" si="563"/>
        <v>9800000</v>
      </c>
      <c r="B674">
        <f t="shared" si="578"/>
        <v>9800</v>
      </c>
      <c r="C674">
        <f t="shared" si="539"/>
        <v>609.59545802263688</v>
      </c>
      <c r="D674">
        <f t="shared" si="540"/>
        <v>1.5691558938892001</v>
      </c>
      <c r="F674">
        <f t="shared" si="541"/>
        <v>5.301273203572298E-8</v>
      </c>
      <c r="G674">
        <f t="shared" si="542"/>
        <v>9.4749860604518053E-5</v>
      </c>
      <c r="H674">
        <f t="shared" si="564"/>
        <v>-3.1414979001393957</v>
      </c>
      <c r="J674">
        <f t="shared" si="565"/>
        <v>15</v>
      </c>
      <c r="M674">
        <f t="shared" si="543"/>
        <v>3.4423460795406275E-4</v>
      </c>
      <c r="N674">
        <f t="shared" si="566"/>
        <v>-1.5707963250000001</v>
      </c>
      <c r="O674">
        <f t="shared" si="544"/>
        <v>2903.8873559133931</v>
      </c>
      <c r="P674">
        <f t="shared" si="567"/>
        <v>1.5704519608133001</v>
      </c>
      <c r="Q674">
        <f t="shared" si="545"/>
        <v>4023.3247337949297</v>
      </c>
      <c r="R674">
        <f t="shared" si="568"/>
        <v>1.5705477761368063</v>
      </c>
      <c r="S674">
        <f t="shared" si="546"/>
        <v>2.7340470767191738E-3</v>
      </c>
      <c r="T674">
        <f t="shared" si="569"/>
        <v>-1.5680622763119929</v>
      </c>
      <c r="U674">
        <f t="shared" si="547"/>
        <v>0.67002353647984658</v>
      </c>
      <c r="V674">
        <f t="shared" si="570"/>
        <v>-0.83655583399401623</v>
      </c>
      <c r="X674">
        <f t="shared" si="548"/>
        <v>-48.943428035305715</v>
      </c>
      <c r="Y674">
        <f t="shared" si="549"/>
        <v>-137.8970016463139</v>
      </c>
      <c r="Z674">
        <f t="shared" si="579"/>
        <v>42.102998353686104</v>
      </c>
      <c r="AC674">
        <v>1</v>
      </c>
      <c r="AD674">
        <f t="shared" si="550"/>
        <v>2903.8871837304</v>
      </c>
      <c r="AE674">
        <f t="shared" si="551"/>
        <v>-0.17880748040359784</v>
      </c>
      <c r="AF674">
        <f t="shared" si="552"/>
        <v>0.16138864097874001</v>
      </c>
      <c r="AG674">
        <f t="shared" si="553"/>
        <v>8074.6027146977949</v>
      </c>
      <c r="AH674">
        <f t="shared" si="554"/>
        <v>-8952.2989840746595</v>
      </c>
      <c r="AJ674">
        <f t="shared" si="571"/>
        <v>18000</v>
      </c>
      <c r="AK674">
        <f t="shared" si="555"/>
        <v>6583622.0883048</v>
      </c>
      <c r="AL674">
        <v>49</v>
      </c>
      <c r="AM674">
        <f t="shared" si="556"/>
        <v>4023.3246095196</v>
      </c>
      <c r="AN674">
        <f t="shared" si="557"/>
        <v>1636.1754340595085</v>
      </c>
      <c r="AO674">
        <f t="shared" si="558"/>
        <v>15.453040036046094</v>
      </c>
      <c r="AQ674">
        <f t="shared" si="559"/>
        <v>2.603082042370153E-5</v>
      </c>
      <c r="AR674">
        <f t="shared" si="560"/>
        <v>-0.51020408030455</v>
      </c>
      <c r="AT674">
        <f t="shared" si="561"/>
        <v>-4567.2892812479104</v>
      </c>
      <c r="AU674">
        <f t="shared" si="562"/>
        <v>-4119.9282875642448</v>
      </c>
      <c r="AV674">
        <f t="shared" si="580"/>
        <v>-2.4076455063623903</v>
      </c>
      <c r="AW674">
        <f t="shared" si="581"/>
        <v>19916.47405480747</v>
      </c>
      <c r="AX674">
        <f t="shared" si="582"/>
        <v>-20865.39973598787</v>
      </c>
      <c r="AY674">
        <f t="shared" si="590"/>
        <v>-0.80866228528530715</v>
      </c>
      <c r="BA674">
        <f t="shared" si="572"/>
        <v>0.2132411788556319</v>
      </c>
      <c r="BB674">
        <f t="shared" si="583"/>
        <v>-13.422578504832233</v>
      </c>
      <c r="BC674">
        <f t="shared" si="584"/>
        <v>-1.5989832210770831</v>
      </c>
      <c r="BD674">
        <f t="shared" si="573"/>
        <v>-271.6149901846361</v>
      </c>
      <c r="BF674">
        <f t="shared" si="574"/>
        <v>-79.712315146310587</v>
      </c>
      <c r="BG674">
        <f t="shared" si="575"/>
        <v>-181.70355119684601</v>
      </c>
      <c r="BH674">
        <f t="shared" si="585"/>
        <v>-1.7035511968460071</v>
      </c>
      <c r="BI674">
        <f t="shared" si="586"/>
        <v>-1.7035511968460071</v>
      </c>
      <c r="BJ674">
        <f t="shared" si="576"/>
        <v>0</v>
      </c>
      <c r="BK674">
        <f t="shared" si="587"/>
        <v>0</v>
      </c>
      <c r="BM674">
        <f t="shared" si="588"/>
        <v>-66.289736641478342</v>
      </c>
      <c r="BN674">
        <f t="shared" si="577"/>
        <v>-90.088561012209894</v>
      </c>
      <c r="BQ674" s="66">
        <f t="shared" si="589"/>
        <v>3.4793822954529059</v>
      </c>
    </row>
    <row r="675" spans="1:69" x14ac:dyDescent="0.2">
      <c r="A675">
        <f t="shared" si="563"/>
        <v>9900000</v>
      </c>
      <c r="B675">
        <f t="shared" si="578"/>
        <v>9900</v>
      </c>
      <c r="C675">
        <f t="shared" si="539"/>
        <v>615.81580318463136</v>
      </c>
      <c r="D675">
        <f t="shared" si="540"/>
        <v>1.5691724638892726</v>
      </c>
      <c r="F675">
        <f t="shared" si="541"/>
        <v>5.1947176611561194E-8</v>
      </c>
      <c r="G675">
        <f t="shared" si="542"/>
        <v>9.3792791210335692E-5</v>
      </c>
      <c r="H675">
        <f t="shared" si="564"/>
        <v>-3.1414988572087901</v>
      </c>
      <c r="J675">
        <f t="shared" si="565"/>
        <v>15</v>
      </c>
      <c r="M675">
        <f t="shared" si="543"/>
        <v>3.4075749070200156E-4</v>
      </c>
      <c r="N675">
        <f t="shared" si="566"/>
        <v>-1.5707963250000001</v>
      </c>
      <c r="O675">
        <f t="shared" si="544"/>
        <v>2933.518856048971</v>
      </c>
      <c r="P675">
        <f t="shared" si="567"/>
        <v>1.5704554392572878</v>
      </c>
      <c r="Q675">
        <f t="shared" si="545"/>
        <v>4064.3790652898233</v>
      </c>
      <c r="R675">
        <f t="shared" si="568"/>
        <v>1.5705502867494123</v>
      </c>
      <c r="S675">
        <f t="shared" si="546"/>
        <v>2.7064306428980843E-3</v>
      </c>
      <c r="T675">
        <f t="shared" si="569"/>
        <v>-1.5680898928479921</v>
      </c>
      <c r="U675">
        <f t="shared" si="547"/>
        <v>0.666268477263953</v>
      </c>
      <c r="V675">
        <f t="shared" si="570"/>
        <v>-0.84160277016354534</v>
      </c>
      <c r="X675">
        <f t="shared" si="548"/>
        <v>-49.080425870891546</v>
      </c>
      <c r="Y675">
        <f t="shared" si="549"/>
        <v>-138.18651439688841</v>
      </c>
      <c r="Z675">
        <f t="shared" si="579"/>
        <v>41.813485603111587</v>
      </c>
      <c r="AC675">
        <v>1</v>
      </c>
      <c r="AD675">
        <f t="shared" si="550"/>
        <v>2933.5186856052001</v>
      </c>
      <c r="AE675">
        <f t="shared" si="551"/>
        <v>-0.18247523067843219</v>
      </c>
      <c r="AF675">
        <f t="shared" si="552"/>
        <v>0.16303546384587</v>
      </c>
      <c r="AG675">
        <f t="shared" si="553"/>
        <v>7984.3502213347974</v>
      </c>
      <c r="AH675">
        <f t="shared" si="554"/>
        <v>-8942.5092802739346</v>
      </c>
      <c r="AJ675">
        <f t="shared" si="571"/>
        <v>18000</v>
      </c>
      <c r="AK675">
        <f t="shared" si="555"/>
        <v>6650801.9055323992</v>
      </c>
      <c r="AL675">
        <v>50</v>
      </c>
      <c r="AM675">
        <f t="shared" si="556"/>
        <v>4064.3789422698001</v>
      </c>
      <c r="AN675">
        <f t="shared" si="557"/>
        <v>1636.1705016565447</v>
      </c>
      <c r="AO675">
        <f t="shared" si="558"/>
        <v>15.699452730456436</v>
      </c>
      <c r="AQ675">
        <f t="shared" si="559"/>
        <v>2.550760120011325E-5</v>
      </c>
      <c r="AR675">
        <f t="shared" si="560"/>
        <v>-0.50505050376224236</v>
      </c>
      <c r="AT675">
        <f t="shared" si="561"/>
        <v>-4516.2151552795904</v>
      </c>
      <c r="AU675">
        <f t="shared" si="562"/>
        <v>-4032.7282034597606</v>
      </c>
      <c r="AV675">
        <f t="shared" si="580"/>
        <v>-2.4126894794455884</v>
      </c>
      <c r="AW675">
        <f t="shared" si="581"/>
        <v>19714.995564326753</v>
      </c>
      <c r="AX675">
        <f t="shared" si="582"/>
        <v>-20834.222026329502</v>
      </c>
      <c r="AY675">
        <f t="shared" si="590"/>
        <v>-0.81299283549701296</v>
      </c>
      <c r="BA675">
        <f t="shared" si="572"/>
        <v>0.21108531649149079</v>
      </c>
      <c r="BB675">
        <f t="shared" si="583"/>
        <v>-13.51083952034735</v>
      </c>
      <c r="BC675">
        <f t="shared" si="584"/>
        <v>-1.5996966439485756</v>
      </c>
      <c r="BD675">
        <f t="shared" si="573"/>
        <v>-271.65586630422746</v>
      </c>
      <c r="BF675">
        <f t="shared" si="574"/>
        <v>-79.888758783384276</v>
      </c>
      <c r="BG675">
        <f t="shared" si="575"/>
        <v>-181.74353276140261</v>
      </c>
      <c r="BH675">
        <f t="shared" si="585"/>
        <v>-1.743532761402605</v>
      </c>
      <c r="BI675">
        <f t="shared" si="586"/>
        <v>-1.743532761402605</v>
      </c>
      <c r="BJ675">
        <f t="shared" si="576"/>
        <v>0</v>
      </c>
      <c r="BK675">
        <f t="shared" si="587"/>
        <v>0</v>
      </c>
      <c r="BM675">
        <f t="shared" si="588"/>
        <v>-66.377919263036915</v>
      </c>
      <c r="BN675">
        <f t="shared" si="577"/>
        <v>-90.087666457175203</v>
      </c>
      <c r="BQ675" s="66">
        <f t="shared" si="589"/>
        <v>3.3911212799377868</v>
      </c>
    </row>
    <row r="676" spans="1:69" x14ac:dyDescent="0.2">
      <c r="A676">
        <f t="shared" si="563"/>
        <v>10000000</v>
      </c>
      <c r="B676">
        <f t="shared" si="578"/>
        <v>10000</v>
      </c>
      <c r="C676">
        <f t="shared" si="539"/>
        <v>622.03614851232555</v>
      </c>
      <c r="D676">
        <f t="shared" si="540"/>
        <v>1.5691887024902089</v>
      </c>
      <c r="F676">
        <f t="shared" si="541"/>
        <v>5.0913427748369896E-8</v>
      </c>
      <c r="G676">
        <f t="shared" si="542"/>
        <v>9.2854863206848695E-5</v>
      </c>
      <c r="H676">
        <f t="shared" si="564"/>
        <v>-3.1414997951367933</v>
      </c>
      <c r="J676">
        <f t="shared" si="565"/>
        <v>15</v>
      </c>
      <c r="M676">
        <f t="shared" si="543"/>
        <v>3.3734991579498154E-4</v>
      </c>
      <c r="N676">
        <f t="shared" si="566"/>
        <v>-1.5707963250000001</v>
      </c>
      <c r="O676">
        <f t="shared" si="544"/>
        <v>2963.1503562193334</v>
      </c>
      <c r="P676">
        <f t="shared" si="567"/>
        <v>1.5704588481324038</v>
      </c>
      <c r="Q676">
        <f t="shared" si="545"/>
        <v>4105.4333968098235</v>
      </c>
      <c r="R676">
        <f t="shared" si="568"/>
        <v>1.5705527471497693</v>
      </c>
      <c r="S676">
        <f t="shared" si="546"/>
        <v>2.6793665317451751E-3</v>
      </c>
      <c r="T676">
        <f t="shared" si="569"/>
        <v>-1.5681169570572768</v>
      </c>
      <c r="U676">
        <f t="shared" si="547"/>
        <v>0.66253867840640002</v>
      </c>
      <c r="V676">
        <f t="shared" si="570"/>
        <v>-0.84659332634899742</v>
      </c>
      <c r="X676">
        <f t="shared" si="548"/>
        <v>-49.216482181157666</v>
      </c>
      <c r="Y676">
        <f t="shared" si="549"/>
        <v>-138.47278992033654</v>
      </c>
      <c r="Z676">
        <f t="shared" si="579"/>
        <v>41.527210079663462</v>
      </c>
      <c r="AC676">
        <v>1</v>
      </c>
      <c r="AD676">
        <f t="shared" si="550"/>
        <v>2963.1501874800001</v>
      </c>
      <c r="AE676">
        <f t="shared" si="551"/>
        <v>-0.18618021699666584</v>
      </c>
      <c r="AF676">
        <f t="shared" si="552"/>
        <v>0.164682286713</v>
      </c>
      <c r="AG676">
        <f t="shared" si="553"/>
        <v>7895.2069811957299</v>
      </c>
      <c r="AH676">
        <f t="shared" si="554"/>
        <v>-8931.9342010114124</v>
      </c>
      <c r="AJ676">
        <f t="shared" si="571"/>
        <v>18000</v>
      </c>
      <c r="AK676">
        <f t="shared" si="555"/>
        <v>6717981.7227599993</v>
      </c>
      <c r="AL676">
        <v>51</v>
      </c>
      <c r="AM676">
        <f t="shared" si="556"/>
        <v>4105.4332750200001</v>
      </c>
      <c r="AN676">
        <f t="shared" si="557"/>
        <v>1636.1656091046457</v>
      </c>
      <c r="AO676">
        <f t="shared" si="558"/>
        <v>15.94093526316491</v>
      </c>
      <c r="AQ676">
        <f t="shared" si="559"/>
        <v>2.4999999937500001E-5</v>
      </c>
      <c r="AR676">
        <f t="shared" si="560"/>
        <v>-0.49999999875000001</v>
      </c>
      <c r="AT676">
        <f t="shared" si="561"/>
        <v>-4465.7697091667515</v>
      </c>
      <c r="AU676">
        <f t="shared" si="562"/>
        <v>-3947.8267790833233</v>
      </c>
      <c r="AV676">
        <f t="shared" si="580"/>
        <v>-2.4176771318064283</v>
      </c>
      <c r="AW676">
        <f t="shared" si="581"/>
        <v>19515.963459757288</v>
      </c>
      <c r="AX676">
        <f t="shared" si="582"/>
        <v>-20801.501528769702</v>
      </c>
      <c r="AY676">
        <f t="shared" si="590"/>
        <v>-0.81727275361518381</v>
      </c>
      <c r="BA676">
        <f t="shared" si="572"/>
        <v>0.20897251269889161</v>
      </c>
      <c r="BB676">
        <f t="shared" si="583"/>
        <v>-13.598216705364305</v>
      </c>
      <c r="BC676">
        <f t="shared" si="584"/>
        <v>-1.6004043781912445</v>
      </c>
      <c r="BD676">
        <f t="shared" si="573"/>
        <v>-271.69641648939557</v>
      </c>
      <c r="BF676">
        <f t="shared" si="574"/>
        <v>-80.063432312640558</v>
      </c>
      <c r="BG676">
        <f t="shared" si="575"/>
        <v>-181.783206282587</v>
      </c>
      <c r="BH676">
        <f t="shared" si="585"/>
        <v>-1.7832062825870025</v>
      </c>
      <c r="BI676">
        <f t="shared" si="586"/>
        <v>-1.7832062825870025</v>
      </c>
      <c r="BJ676">
        <f t="shared" si="576"/>
        <v>0</v>
      </c>
      <c r="BK676">
        <f t="shared" si="587"/>
        <v>0</v>
      </c>
      <c r="BM676">
        <f t="shared" si="588"/>
        <v>-66.465215607276249</v>
      </c>
      <c r="BN676">
        <f t="shared" si="577"/>
        <v>-90.086789793191429</v>
      </c>
      <c r="BQ676" s="66">
        <f t="shared" si="589"/>
        <v>3.3037440949208325</v>
      </c>
    </row>
    <row r="677" spans="1:69" x14ac:dyDescent="0.2">
      <c r="BD677">
        <f t="shared" si="573"/>
        <v>-180</v>
      </c>
    </row>
    <row r="678" spans="1:69" x14ac:dyDescent="0.2">
      <c r="BD678">
        <f t="shared" si="573"/>
        <v>-180</v>
      </c>
    </row>
    <row r="679" spans="1:69" x14ac:dyDescent="0.2">
      <c r="C679" s="618" t="s">
        <v>46</v>
      </c>
      <c r="D679" s="618"/>
      <c r="E679" s="618"/>
      <c r="F679" s="618"/>
      <c r="G679" s="618"/>
      <c r="H679" s="618"/>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
      <c r="A682">
        <f>Fesr</f>
        <v>16076.256896339026</v>
      </c>
      <c r="B682">
        <f t="shared" ref="B682:B692" si="591">A682/1000</f>
        <v>16.076256896339025</v>
      </c>
      <c r="C682">
        <f t="shared" ref="C682:C686" si="592">SQRT((A682/Fesr)^2+1)</f>
        <v>1.4142135623730951</v>
      </c>
      <c r="D682">
        <f t="shared" ref="D682:D686" si="593">ATAN(A682/Fesr)</f>
        <v>0.78539816339744828</v>
      </c>
      <c r="F682">
        <f t="shared" ref="F682:F687" si="594">(Ro/(Ro+Rdcr))/SQRT((A682/(Q*Fo))^2+(1-(A682^2/Fo^2))^2)</f>
        <v>2.0064324755386786E-2</v>
      </c>
      <c r="G682">
        <f t="shared" ref="G682:G687" si="595">-ATAN(A682*Fo/(Q*(Fo^2-A682^2)))</f>
        <v>5.8861674828215763E-2</v>
      </c>
      <c r="H682">
        <f t="shared" ref="H682:H687" si="596">IF(G682&gt;0,G682-Pi,G682)</f>
        <v>-3.0827309751717844</v>
      </c>
      <c r="J682">
        <f t="shared" ref="J682:J688" si="597">Vin/Vramp</f>
        <v>15</v>
      </c>
      <c r="M682">
        <f t="shared" ref="M682:M687" si="598">1/(2*Pi*_Rfb1*(Cc1ea_u+Cc2ea_u)*A682)</f>
        <v>0.20984357115604735</v>
      </c>
      <c r="N682">
        <f t="shared" ref="N682:N688" si="599">-Pi/2</f>
        <v>-1.5707963250000001</v>
      </c>
      <c r="O682">
        <f t="shared" ref="O682:O687" si="600">SQRT(1+(A682/Fz1_u)^2)</f>
        <v>4.8674666311089059</v>
      </c>
      <c r="P682">
        <f t="shared" ref="P682:P687" si="601">ATAN(A682/Fz1_u)</f>
        <v>1.363877245351403</v>
      </c>
      <c r="Q682">
        <f t="shared" ref="Q682:Q687" si="602">SQRT(1+(A682/Fz2_u)^2)</f>
        <v>6.6753277073114532</v>
      </c>
      <c r="R682">
        <f t="shared" ref="R682:R687" si="603">ATAN(A682/Fz2_u)</f>
        <v>1.4204248987877621</v>
      </c>
      <c r="S682">
        <f t="shared" ref="S682:S687" si="604">1/SQRT(1+(A682/Fp1_u)^2)</f>
        <v>0.85749292571254432</v>
      </c>
      <c r="T682">
        <f t="shared" ref="T682:T687" si="605">-ATAN(A682/Fp1_u)</f>
        <v>-0.54041950027058416</v>
      </c>
      <c r="U682">
        <f t="shared" ref="U682:U687" si="606">1/SQRT(1+(A682/Fp2_u)^2)</f>
        <v>0.99999834837255797</v>
      </c>
      <c r="V682">
        <f t="shared" ref="V682:V687" si="607">-ATAN(A682/Fp2_u)</f>
        <v>-1.8174861192161019E-3</v>
      </c>
      <c r="X682">
        <f t="shared" ref="X682:X686" si="608">20*LOG(C682*J682*O682*Q682*F682*M682*S682*U682)</f>
        <v>7.9186375302319529</v>
      </c>
      <c r="Y682">
        <f t="shared" ref="Y682:Y686" si="609">(180/Pi)*(D682+H682+N682+P682+R682+T682+V682)</f>
        <v>-93.166603322838455</v>
      </c>
      <c r="Z682">
        <f t="shared" ref="Z682:Z687" si="610">Y682+180</f>
        <v>86.833396677161545</v>
      </c>
      <c r="AC682">
        <v>1</v>
      </c>
      <c r="AD682">
        <f t="shared" ref="AD682:AD687" si="611">Rcea1_u*Cc1ea_u*A682*2*Pi</f>
        <v>4.7636363636363637</v>
      </c>
      <c r="AE682">
        <f t="shared" ref="AE682:AE687" si="612">-Rcea1_u*Cc1ea_u*Cc2ea_u*(A682*2*Pi)^2</f>
        <v>-4.8117539026629935E-7</v>
      </c>
      <c r="AF682">
        <f t="shared" ref="AF682:AF687" si="613">(Cc2ea_u+Cc1ea_u)*A682*2*Pi</f>
        <v>2.6474747474747475E-4</v>
      </c>
      <c r="AG682">
        <f t="shared" ref="AG682:AG687" si="614">AC682*AE682/(AE682^2+AF682^2)+AD682*AF682/(AE682^2+AF682^2)</f>
        <v>17986.207991481097</v>
      </c>
      <c r="AH682">
        <f t="shared" ref="AH682:AH687" si="615">AD682*AE682/(AE682^2+AF682^2)-AC682*AF682/(AE682^2+AF682^2)</f>
        <v>-3809.8740001648789</v>
      </c>
      <c r="AJ682">
        <f t="shared" ref="AJ682:AJ688" si="616">_Rfb1</f>
        <v>18000</v>
      </c>
      <c r="AK682">
        <f t="shared" ref="AK682:AK687" si="617">_Rfb1*Rcea2_u*Cc3ea_u*A682*2*Pi</f>
        <v>10799.999999999996</v>
      </c>
      <c r="AL682">
        <v>1</v>
      </c>
      <c r="AM682">
        <f t="shared" ref="AM682:AM687" si="618">(_Rfb1+Rcea2_u)*Cc3ea_u*A682*2*Pi</f>
        <v>6.5999999999999988</v>
      </c>
      <c r="AN682">
        <f t="shared" ref="AN682:AN687" si="619">AJ682*AL682/(AL682^2+AM682^2)+AK682*AM682/(AL682^2+AM682^2)</f>
        <v>2003.5906642728905</v>
      </c>
      <c r="AO682">
        <f t="shared" ref="AO682:AO687" si="620">AK682*AL682/(AL682^2+AM682^2)-AJ682*AM682/(AL682^2+AM682^2)</f>
        <v>-2423.6983842010773</v>
      </c>
      <c r="AQ682">
        <f t="shared" ref="AQ682:AQ687" si="621">Eadcg/(1+(Eadcg*A682/GBP)^2)</f>
        <v>9.6638512155667922</v>
      </c>
      <c r="AR682">
        <f t="shared" ref="AR682:AR687" si="622">-(A682*Eadcg*Eadcg/GBP)/(1+(Eadcg*A682/GBP)^2)</f>
        <v>-310.71710949889984</v>
      </c>
      <c r="AT682">
        <f t="shared" ref="AT682:AT687" si="623">-AR682*AH682+AG682*AQ682</f>
        <v>-1009976.9989243305</v>
      </c>
      <c r="AU682">
        <f t="shared" ref="AU682:AU687" si="624">AQ682*AH682+AG682*AR682</f>
        <v>-5625440.6134466687</v>
      </c>
      <c r="AV682">
        <f t="shared" ref="AV682:AV687" si="625">IF(AT682&lt;0,ATAN(AU682/AT682)+Pi,ATAN(AU682/AT682))</f>
        <v>4.5347441538305509</v>
      </c>
      <c r="AW682">
        <f t="shared" ref="AW682:AW687" si="626">AG682-AH682*AO682/_Rfb2+AG682*AN682/_Rfb2+AN682-AO682*AR682+AQ682*AN682</f>
        <v>-693257.8317156547</v>
      </c>
      <c r="AX682">
        <f t="shared" ref="AX682:AX687" si="627">AH682+AH682*AN682/_Rfb2+AG682*AO682/_Rfb2+AO682+AO682*AQ682+AN682*AR682</f>
        <v>-691337.14135769242</v>
      </c>
      <c r="AY682">
        <f t="shared" ref="AY682:AY687" si="628">IF(AW682&lt;0,ATAN(AX682/AW682)+Pi,ATAN(AX682/AW682))</f>
        <v>3.9256036285792661</v>
      </c>
      <c r="BA682">
        <f t="shared" ref="BA682:BA687" si="629">SQRT(AT682^2+AU682^2)/SQRT(AW682^2+AX682^2)</f>
        <v>5.8376410364247002</v>
      </c>
      <c r="BB682">
        <f t="shared" ref="BB682:BB687" si="630">20*LOG(BA682)</f>
        <v>15.324747723649805</v>
      </c>
      <c r="BC682">
        <f t="shared" ref="BC682:BC687" si="631">AV682-AY682</f>
        <v>0.6091405252512847</v>
      </c>
      <c r="BD682">
        <f t="shared" ref="BD682:BD687" si="632">BC682*180/Pi</f>
        <v>34.901181267161178</v>
      </c>
      <c r="BF682">
        <f t="shared" ref="BF682:BF686" si="633">20*LOG(BA682*J682*F682*C682)</f>
        <v>7.9053638328636877</v>
      </c>
      <c r="BG682">
        <f t="shared" ref="BG682:BG686" si="634">(180/Pi)*(D682+H682+BC682)</f>
        <v>-96.726293134836951</v>
      </c>
      <c r="BH682">
        <f t="shared" ref="BH682:BH687" si="635">IF(BG682&gt;180,BG682-180,BG682+180)</f>
        <v>83.273706865163049</v>
      </c>
      <c r="BI682">
        <f t="shared" ref="BI682:BI687" si="636">IF(BH682&gt;180,BH682-360,BH682)</f>
        <v>83.273706865163049</v>
      </c>
    </row>
    <row r="683" spans="1:69" x14ac:dyDescent="0.2">
      <c r="A683">
        <f>Fo+1</f>
        <v>2266.9414874152649</v>
      </c>
      <c r="B683">
        <f t="shared" si="591"/>
        <v>2.2669414874152647</v>
      </c>
      <c r="C683">
        <f t="shared" si="592"/>
        <v>1.0098932221337089</v>
      </c>
      <c r="D683">
        <f t="shared" si="593"/>
        <v>0.14008812673180973</v>
      </c>
      <c r="F683">
        <f t="shared" si="594"/>
        <v>2.4187242868275942</v>
      </c>
      <c r="G683">
        <f t="shared" si="595"/>
        <v>1.5686429060541009</v>
      </c>
      <c r="H683">
        <f t="shared" si="596"/>
        <v>-1.5729497439458993</v>
      </c>
      <c r="J683">
        <f t="shared" si="597"/>
        <v>15</v>
      </c>
      <c r="M683">
        <f t="shared" si="598"/>
        <v>1.4881280247758983</v>
      </c>
      <c r="N683">
        <f t="shared" si="599"/>
        <v>-1.5707963250000001</v>
      </c>
      <c r="O683">
        <f t="shared" si="600"/>
        <v>1.2046657599943673</v>
      </c>
      <c r="P683">
        <f t="shared" si="601"/>
        <v>0.59149898073883767</v>
      </c>
      <c r="Q683">
        <f t="shared" si="602"/>
        <v>1.3660750287087082</v>
      </c>
      <c r="R683">
        <f t="shared" si="603"/>
        <v>0.74950790012057011</v>
      </c>
      <c r="S683">
        <f t="shared" si="604"/>
        <v>0.99643992423419925</v>
      </c>
      <c r="T683">
        <f t="shared" si="605"/>
        <v>-8.44060439784729E-2</v>
      </c>
      <c r="U683">
        <f t="shared" si="606"/>
        <v>0.99999996715843142</v>
      </c>
      <c r="V683">
        <f t="shared" si="607"/>
        <v>-2.5628721657267761E-4</v>
      </c>
      <c r="X683">
        <f t="shared" si="608"/>
        <v>39.027712051237188</v>
      </c>
      <c r="Y683">
        <f t="shared" si="609"/>
        <v>-100.11368299418159</v>
      </c>
      <c r="Z683">
        <f t="shared" si="610"/>
        <v>79.886317005818412</v>
      </c>
      <c r="AC683">
        <v>1</v>
      </c>
      <c r="AD683">
        <f t="shared" si="611"/>
        <v>0.67172880934407331</v>
      </c>
      <c r="AE683">
        <f t="shared" si="612"/>
        <v>-9.5678454898813895E-9</v>
      </c>
      <c r="AF683">
        <f t="shared" si="613"/>
        <v>3.7332510799211537E-5</v>
      </c>
      <c r="AG683">
        <f t="shared" si="614"/>
        <v>17986.266223263239</v>
      </c>
      <c r="AH683">
        <f t="shared" si="615"/>
        <v>-26790.91409617399</v>
      </c>
      <c r="AJ683">
        <f t="shared" si="616"/>
        <v>18000</v>
      </c>
      <c r="AK683">
        <f t="shared" si="617"/>
        <v>1522.9271479022118</v>
      </c>
      <c r="AL683">
        <v>1</v>
      </c>
      <c r="AM683">
        <f t="shared" si="618"/>
        <v>0.93067770149579609</v>
      </c>
      <c r="AN683">
        <f t="shared" si="619"/>
        <v>10404.972831065947</v>
      </c>
      <c r="AO683">
        <f t="shared" si="620"/>
        <v>-8160.7490506404492</v>
      </c>
      <c r="AQ683">
        <f t="shared" si="621"/>
        <v>463.90591983916283</v>
      </c>
      <c r="AR683">
        <f t="shared" si="622"/>
        <v>-2103.2951518818768</v>
      </c>
      <c r="AT683">
        <f t="shared" si="623"/>
        <v>-48005264.35619159</v>
      </c>
      <c r="AU683">
        <f t="shared" si="624"/>
        <v>-50258890.194963917</v>
      </c>
      <c r="AV683">
        <f t="shared" si="625"/>
        <v>3.9499211571146615</v>
      </c>
      <c r="AW683">
        <f t="shared" si="626"/>
        <v>-12333196.993153159</v>
      </c>
      <c r="AX683">
        <f t="shared" si="627"/>
        <v>-26030565.752525087</v>
      </c>
      <c r="AY683">
        <f t="shared" si="628"/>
        <v>4.2699228565610881</v>
      </c>
      <c r="BA683">
        <f t="shared" si="629"/>
        <v>2.4128718797983271</v>
      </c>
      <c r="BB683">
        <f t="shared" si="630"/>
        <v>7.6506852415421891</v>
      </c>
      <c r="BC683">
        <f t="shared" si="631"/>
        <v>-0.32000169944642654</v>
      </c>
      <c r="BD683">
        <f t="shared" si="632"/>
        <v>-18.334746836244594</v>
      </c>
      <c r="BF683">
        <f t="shared" si="633"/>
        <v>38.929746880865224</v>
      </c>
      <c r="BG683">
        <f t="shared" si="634"/>
        <v>-100.43167022271103</v>
      </c>
      <c r="BH683">
        <f t="shared" si="635"/>
        <v>79.568329777288966</v>
      </c>
      <c r="BI683">
        <f t="shared" si="636"/>
        <v>79.568329777288966</v>
      </c>
    </row>
    <row r="684" spans="1:69" x14ac:dyDescent="0.2">
      <c r="A684">
        <f>Fz1_u</f>
        <v>3374.786753048269</v>
      </c>
      <c r="B684">
        <f t="shared" si="591"/>
        <v>3.3747867530482689</v>
      </c>
      <c r="C684">
        <f t="shared" si="592"/>
        <v>1.0217964301946176</v>
      </c>
      <c r="D684">
        <f t="shared" si="593"/>
        <v>0.20691908144349364</v>
      </c>
      <c r="F684">
        <f t="shared" si="594"/>
        <v>0.72777299453810229</v>
      </c>
      <c r="G684">
        <f t="shared" si="595"/>
        <v>0.46445385465214045</v>
      </c>
      <c r="H684">
        <f t="shared" si="596"/>
        <v>-2.6771387953478598</v>
      </c>
      <c r="J684">
        <f t="shared" si="597"/>
        <v>15</v>
      </c>
      <c r="M684">
        <f t="shared" si="598"/>
        <v>0.99961846623426198</v>
      </c>
      <c r="N684">
        <f t="shared" si="599"/>
        <v>-1.5707963250000001</v>
      </c>
      <c r="O684">
        <f t="shared" si="600"/>
        <v>1.4142135623730951</v>
      </c>
      <c r="P684">
        <f t="shared" si="601"/>
        <v>0.78539816339744828</v>
      </c>
      <c r="Q684">
        <f t="shared" si="602"/>
        <v>1.7086836084186825</v>
      </c>
      <c r="R684">
        <f t="shared" si="603"/>
        <v>0.94561309741169475</v>
      </c>
      <c r="S684">
        <f t="shared" si="604"/>
        <v>0.99216091968546205</v>
      </c>
      <c r="T684">
        <f t="shared" si="605"/>
        <v>-0.12529440244327394</v>
      </c>
      <c r="U684">
        <f t="shared" si="606"/>
        <v>0.99999992721600073</v>
      </c>
      <c r="V684">
        <f t="shared" si="607"/>
        <v>-3.8153374722523192E-4</v>
      </c>
      <c r="X684">
        <f t="shared" si="608"/>
        <v>28.540891654132885</v>
      </c>
      <c r="Y684">
        <f t="shared" si="609"/>
        <v>-139.55422532944553</v>
      </c>
      <c r="Z684">
        <f t="shared" si="610"/>
        <v>40.445774670554471</v>
      </c>
      <c r="AC684">
        <v>1</v>
      </c>
      <c r="AD684">
        <f t="shared" si="611"/>
        <v>1</v>
      </c>
      <c r="AE684">
        <f t="shared" si="612"/>
        <v>-2.1204410517387614E-8</v>
      </c>
      <c r="AF684">
        <f t="shared" si="613"/>
        <v>5.5576759966072939E-5</v>
      </c>
      <c r="AG684">
        <f t="shared" si="614"/>
        <v>17986.264786432832</v>
      </c>
      <c r="AH684">
        <f t="shared" si="615"/>
        <v>-17999.994759552246</v>
      </c>
      <c r="AJ684">
        <f t="shared" si="616"/>
        <v>18000</v>
      </c>
      <c r="AK684">
        <f t="shared" si="617"/>
        <v>2267.1755725190833</v>
      </c>
      <c r="AL684">
        <v>1</v>
      </c>
      <c r="AM684">
        <f t="shared" si="618"/>
        <v>1.3854961832061068</v>
      </c>
      <c r="AN684">
        <f t="shared" si="619"/>
        <v>7241.1170932025379</v>
      </c>
      <c r="AO684">
        <f t="shared" si="620"/>
        <v>-7765.3645222615314</v>
      </c>
      <c r="AQ684">
        <f t="shared" si="621"/>
        <v>214.79165981060407</v>
      </c>
      <c r="AR684">
        <f t="shared" si="622"/>
        <v>-1449.7520963881534</v>
      </c>
      <c r="AT684">
        <f t="shared" si="623"/>
        <v>-22232230.470365714</v>
      </c>
      <c r="AU684">
        <f t="shared" si="624"/>
        <v>-29941873.831309821</v>
      </c>
      <c r="AV684">
        <f t="shared" si="625"/>
        <v>4.0736967952055849</v>
      </c>
      <c r="AW684">
        <f t="shared" si="626"/>
        <v>-9684578.9003016204</v>
      </c>
      <c r="AX684">
        <f t="shared" si="627"/>
        <v>-12397783.197761515</v>
      </c>
      <c r="AY684">
        <f t="shared" si="628"/>
        <v>4.0492455528756279</v>
      </c>
      <c r="BA684">
        <f t="shared" si="629"/>
        <v>2.3705344532971542</v>
      </c>
      <c r="BB684">
        <f t="shared" si="630"/>
        <v>7.4969254345515388</v>
      </c>
      <c r="BC684">
        <f t="shared" si="631"/>
        <v>2.445124232995699E-2</v>
      </c>
      <c r="BD684">
        <f t="shared" si="632"/>
        <v>1.4009529909589831</v>
      </c>
      <c r="BF684">
        <f t="shared" si="633"/>
        <v>28.445956960935259</v>
      </c>
      <c r="BG684">
        <f t="shared" si="634"/>
        <v>-140.13221124750007</v>
      </c>
      <c r="BH684">
        <f t="shared" si="635"/>
        <v>39.867788752499933</v>
      </c>
      <c r="BI684">
        <f t="shared" si="636"/>
        <v>39.867788752499933</v>
      </c>
    </row>
    <row r="685" spans="1:69" x14ac:dyDescent="0.2">
      <c r="A685">
        <f>Fz2_u</f>
        <v>2435.7964994453073</v>
      </c>
      <c r="B685">
        <f t="shared" si="591"/>
        <v>2.4357964994453072</v>
      </c>
      <c r="C685">
        <f t="shared" si="592"/>
        <v>1.0114132889865841</v>
      </c>
      <c r="D685">
        <f t="shared" si="593"/>
        <v>0.15037142800713457</v>
      </c>
      <c r="F685">
        <f t="shared" si="594"/>
        <v>2.1226236449809952</v>
      </c>
      <c r="G685">
        <f t="shared" si="595"/>
        <v>1.2313672330670073</v>
      </c>
      <c r="H685">
        <f t="shared" si="596"/>
        <v>-1.9102254169329929</v>
      </c>
      <c r="J685">
        <f t="shared" si="597"/>
        <v>15</v>
      </c>
      <c r="M685">
        <f t="shared" si="598"/>
        <v>1.3849675696299124</v>
      </c>
      <c r="N685">
        <f t="shared" si="599"/>
        <v>-1.5707963250000001</v>
      </c>
      <c r="O685">
        <f t="shared" si="600"/>
        <v>1.2332647531837324</v>
      </c>
      <c r="P685">
        <f t="shared" si="601"/>
        <v>0.62518322938320192</v>
      </c>
      <c r="Q685">
        <f t="shared" si="602"/>
        <v>1.4142135623730951</v>
      </c>
      <c r="R685">
        <f t="shared" si="603"/>
        <v>0.78539816339744828</v>
      </c>
      <c r="S685">
        <f t="shared" si="604"/>
        <v>0.99589320646770374</v>
      </c>
      <c r="T685">
        <f t="shared" si="605"/>
        <v>-9.065988720074511E-2</v>
      </c>
      <c r="U685">
        <f t="shared" si="606"/>
        <v>0.99999996208375952</v>
      </c>
      <c r="V685">
        <f t="shared" si="607"/>
        <v>-2.7537698098248267E-4</v>
      </c>
      <c r="X685">
        <f t="shared" si="608"/>
        <v>37.782331742434572</v>
      </c>
      <c r="Y685">
        <f t="shared" si="609"/>
        <v>-115.22205253403821</v>
      </c>
      <c r="Z685">
        <f t="shared" si="610"/>
        <v>64.777947465961788</v>
      </c>
      <c r="AC685">
        <v>1</v>
      </c>
      <c r="AD685">
        <f t="shared" si="611"/>
        <v>0.72176308539944911</v>
      </c>
      <c r="AE685">
        <f t="shared" si="612"/>
        <v>-1.1046266994175835E-8</v>
      </c>
      <c r="AF685">
        <f t="shared" si="613"/>
        <v>4.0113253749617388E-5</v>
      </c>
      <c r="AG685">
        <f t="shared" si="614"/>
        <v>17986.266040714425</v>
      </c>
      <c r="AH685">
        <f t="shared" si="615"/>
        <v>-24934.36925710506</v>
      </c>
      <c r="AJ685">
        <f t="shared" si="616"/>
        <v>18000</v>
      </c>
      <c r="AK685">
        <f t="shared" si="617"/>
        <v>1636.3636363636363</v>
      </c>
      <c r="AL685">
        <v>1</v>
      </c>
      <c r="AM685">
        <f t="shared" si="618"/>
        <v>1</v>
      </c>
      <c r="AN685">
        <f t="shared" si="619"/>
        <v>9818.181818181818</v>
      </c>
      <c r="AO685">
        <f t="shared" si="620"/>
        <v>-8181.818181818182</v>
      </c>
      <c r="AQ685">
        <f t="shared" si="621"/>
        <v>404.32762618531621</v>
      </c>
      <c r="AR685">
        <f t="shared" si="622"/>
        <v>-1969.719632982448</v>
      </c>
      <c r="AT685">
        <f t="shared" si="623"/>
        <v>-41841372.409574181</v>
      </c>
      <c r="AU685">
        <f t="shared" si="624"/>
        <v>-45509555.676594101</v>
      </c>
      <c r="AV685">
        <f t="shared" si="625"/>
        <v>3.9689597928639699</v>
      </c>
      <c r="AW685">
        <f t="shared" si="626"/>
        <v>-12139264.122911397</v>
      </c>
      <c r="AX685">
        <f t="shared" si="627"/>
        <v>-22979738.73042012</v>
      </c>
      <c r="AY685">
        <f t="shared" si="628"/>
        <v>4.2263902257124695</v>
      </c>
      <c r="BA685">
        <f t="shared" si="629"/>
        <v>2.3787286682186402</v>
      </c>
      <c r="BB685">
        <f t="shared" si="630"/>
        <v>7.5268981335927752</v>
      </c>
      <c r="BC685">
        <f t="shared" si="631"/>
        <v>-0.25743043284849954</v>
      </c>
      <c r="BD685">
        <f t="shared" si="632"/>
        <v>-14.749677337298937</v>
      </c>
      <c r="BF685">
        <f t="shared" si="633"/>
        <v>37.684756380466894</v>
      </c>
      <c r="BG685">
        <f t="shared" si="634"/>
        <v>-115.58188357723091</v>
      </c>
      <c r="BH685">
        <f t="shared" si="635"/>
        <v>64.418116422769089</v>
      </c>
      <c r="BI685">
        <f t="shared" si="636"/>
        <v>64.418116422769089</v>
      </c>
    </row>
    <row r="686" spans="1:69" x14ac:dyDescent="0.2">
      <c r="A686">
        <f>Fp1_u</f>
        <v>26793.761493898379</v>
      </c>
      <c r="B686">
        <f t="shared" si="591"/>
        <v>26.79376149389838</v>
      </c>
      <c r="C686">
        <f t="shared" si="592"/>
        <v>1.9436506316151003</v>
      </c>
      <c r="D686">
        <f t="shared" si="593"/>
        <v>1.0303768265243125</v>
      </c>
      <c r="F686">
        <f t="shared" si="594"/>
        <v>7.1386779837430457E-3</v>
      </c>
      <c r="G686">
        <f t="shared" si="595"/>
        <v>3.4890879435461659E-2</v>
      </c>
      <c r="H686">
        <f t="shared" si="596"/>
        <v>-3.1067017705645386</v>
      </c>
      <c r="J686">
        <f t="shared" si="597"/>
        <v>15</v>
      </c>
      <c r="M686">
        <f t="shared" si="598"/>
        <v>0.1259061426936284</v>
      </c>
      <c r="N686">
        <f t="shared" si="599"/>
        <v>-1.5707963250000001</v>
      </c>
      <c r="O686">
        <f t="shared" si="600"/>
        <v>8.0021232260497719</v>
      </c>
      <c r="P686">
        <f t="shared" si="601"/>
        <v>1.4455019243516227</v>
      </c>
      <c r="Q686">
        <f t="shared" si="602"/>
        <v>11.045361017187261</v>
      </c>
      <c r="R686">
        <f t="shared" si="603"/>
        <v>1.4801364395941514</v>
      </c>
      <c r="S686">
        <f t="shared" si="604"/>
        <v>0.70710678118654746</v>
      </c>
      <c r="T686">
        <f t="shared" si="605"/>
        <v>-0.78539816339744828</v>
      </c>
      <c r="U686">
        <f t="shared" si="606"/>
        <v>0.99999541216620047</v>
      </c>
      <c r="V686">
        <f t="shared" si="607"/>
        <v>-3.0291376025488779E-3</v>
      </c>
      <c r="X686">
        <f t="shared" si="608"/>
        <v>4.2848466728351911</v>
      </c>
      <c r="Y686">
        <f t="shared" si="609"/>
        <v>-86.511482351794001</v>
      </c>
      <c r="Z686">
        <f t="shared" si="610"/>
        <v>93.488517648205999</v>
      </c>
      <c r="AC686">
        <v>1</v>
      </c>
      <c r="AD686">
        <f t="shared" si="611"/>
        <v>7.9393939393939394</v>
      </c>
      <c r="AE686">
        <f t="shared" si="612"/>
        <v>-1.3365983062952761E-6</v>
      </c>
      <c r="AF686">
        <f t="shared" si="613"/>
        <v>4.4124579124579121E-4</v>
      </c>
      <c r="AG686">
        <f t="shared" si="614"/>
        <v>17986.102369025211</v>
      </c>
      <c r="AH686">
        <f t="shared" si="615"/>
        <v>-2320.7931141327581</v>
      </c>
      <c r="AJ686">
        <f t="shared" si="616"/>
        <v>18000</v>
      </c>
      <c r="AK686">
        <f t="shared" si="617"/>
        <v>17999.999999999996</v>
      </c>
      <c r="AL686">
        <v>1</v>
      </c>
      <c r="AM686">
        <f t="shared" si="618"/>
        <v>10.999999999999998</v>
      </c>
      <c r="AN686">
        <f t="shared" si="619"/>
        <v>1770.4918032786886</v>
      </c>
      <c r="AO686">
        <f t="shared" si="620"/>
        <v>-1475.4098360655742</v>
      </c>
      <c r="AQ686">
        <f t="shared" si="621"/>
        <v>3.4811394752968381</v>
      </c>
      <c r="AR686">
        <f t="shared" si="622"/>
        <v>-186.54564165619607</v>
      </c>
      <c r="AT686">
        <f t="shared" si="623"/>
        <v>-370321.7096636332</v>
      </c>
      <c r="AU686">
        <f t="shared" si="624"/>
        <v>-3363308.0118474411</v>
      </c>
      <c r="AV686">
        <f t="shared" si="625"/>
        <v>4.6027243313966988</v>
      </c>
      <c r="AW686">
        <f t="shared" si="626"/>
        <v>-227601.53315355905</v>
      </c>
      <c r="AX686">
        <f t="shared" si="627"/>
        <v>-362619.83936712175</v>
      </c>
      <c r="AY686">
        <f t="shared" si="628"/>
        <v>4.1518799998473943</v>
      </c>
      <c r="BA686">
        <f t="shared" si="629"/>
        <v>7.9032796928160778</v>
      </c>
      <c r="BB686">
        <f t="shared" si="630"/>
        <v>17.956147033184756</v>
      </c>
      <c r="BC686">
        <f t="shared" si="631"/>
        <v>0.45084433154930448</v>
      </c>
      <c r="BD686">
        <f t="shared" si="632"/>
        <v>25.831477444688701</v>
      </c>
      <c r="BF686">
        <f t="shared" si="633"/>
        <v>4.3226921294220997</v>
      </c>
      <c r="BG686">
        <f t="shared" si="634"/>
        <v>-93.133178882490014</v>
      </c>
      <c r="BH686">
        <f t="shared" si="635"/>
        <v>86.866821117509986</v>
      </c>
      <c r="BI686">
        <f t="shared" si="636"/>
        <v>86.866821117509986</v>
      </c>
    </row>
    <row r="687" spans="1:69" x14ac:dyDescent="0.2">
      <c r="A687">
        <f>Fp2_u</f>
        <v>8845316.0797395129</v>
      </c>
      <c r="B687">
        <f t="shared" si="591"/>
        <v>8845.3160797395121</v>
      </c>
      <c r="C687">
        <f>SQRT((A687/Fesr)^2+1)</f>
        <v>550.21083240743189</v>
      </c>
      <c r="D687">
        <f>ATAN(A687/Fesr)</f>
        <v>1.5689788406756806</v>
      </c>
      <c r="F687">
        <f t="shared" si="594"/>
        <v>6.5073719247489373E-8</v>
      </c>
      <c r="G687">
        <f t="shared" si="595"/>
        <v>1.0497631019801413E-4</v>
      </c>
      <c r="H687">
        <f t="shared" si="596"/>
        <v>-3.1414876736898023</v>
      </c>
      <c r="J687">
        <f t="shared" si="597"/>
        <v>15</v>
      </c>
      <c r="M687">
        <f t="shared" si="598"/>
        <v>3.8138819772386948E-4</v>
      </c>
      <c r="N687">
        <f t="shared" si="599"/>
        <v>-1.5707963250000001</v>
      </c>
      <c r="O687">
        <f t="shared" si="600"/>
        <v>2621.0001907668761</v>
      </c>
      <c r="P687">
        <f t="shared" si="601"/>
        <v>1.5704147930476713</v>
      </c>
      <c r="Q687">
        <f t="shared" si="602"/>
        <v>3631.3856338716973</v>
      </c>
      <c r="R687">
        <f t="shared" si="603"/>
        <v>1.5705209498139141</v>
      </c>
      <c r="S687">
        <f t="shared" si="604"/>
        <v>3.0291329701541687E-3</v>
      </c>
      <c r="T687">
        <f t="shared" si="605"/>
        <v>-1.5677671891923477</v>
      </c>
      <c r="U687">
        <f t="shared" si="606"/>
        <v>0.70710678118654746</v>
      </c>
      <c r="V687">
        <f t="shared" si="607"/>
        <v>-0.78539816339744828</v>
      </c>
      <c r="X687">
        <f>20*LOG(C687*J687*O687*Q687*F687*M687*S687*U687)</f>
        <v>-47.585279239167775</v>
      </c>
      <c r="Y687">
        <f>(180/Pi)*(D687+H687+N687+P687+R687+T687+V687)</f>
        <v>-134.96220084218103</v>
      </c>
      <c r="Z687">
        <f t="shared" si="610"/>
        <v>45.037799157818966</v>
      </c>
      <c r="AC687">
        <v>1</v>
      </c>
      <c r="AD687">
        <f t="shared" si="611"/>
        <v>2621</v>
      </c>
      <c r="AE687">
        <f t="shared" si="612"/>
        <v>-0.14566668787107717</v>
      </c>
      <c r="AF687">
        <f t="shared" si="613"/>
        <v>0.14566668787107717</v>
      </c>
      <c r="AG687">
        <f t="shared" si="614"/>
        <v>8993.1337023288415</v>
      </c>
      <c r="AH687">
        <f t="shared" si="615"/>
        <v>-8999.9986898878724</v>
      </c>
      <c r="AJ687">
        <f t="shared" si="616"/>
        <v>18000</v>
      </c>
      <c r="AK687">
        <f t="shared" si="617"/>
        <v>5942267.1755725183</v>
      </c>
      <c r="AL687">
        <v>1</v>
      </c>
      <c r="AM687">
        <f t="shared" si="618"/>
        <v>3631.3854961832053</v>
      </c>
      <c r="AN687">
        <f t="shared" si="619"/>
        <v>1636.3648772587596</v>
      </c>
      <c r="AO687">
        <f t="shared" si="620"/>
        <v>-4.5061685519040493</v>
      </c>
      <c r="AQ687">
        <f t="shared" si="621"/>
        <v>3.1953121733388598E-5</v>
      </c>
      <c r="AR687">
        <f t="shared" si="622"/>
        <v>-0.56527092293243253</v>
      </c>
      <c r="AT687">
        <f t="shared" si="623"/>
        <v>-5087.1502071276464</v>
      </c>
      <c r="AU687">
        <f t="shared" si="624"/>
        <v>-5083.8445660239258</v>
      </c>
      <c r="AV687">
        <f t="shared" si="625"/>
        <v>3.926665806742637</v>
      </c>
      <c r="AW687">
        <f t="shared" si="626"/>
        <v>21837.449408769258</v>
      </c>
      <c r="AX687">
        <f t="shared" si="627"/>
        <v>-21210.457653902271</v>
      </c>
      <c r="AY687">
        <f t="shared" si="628"/>
        <v>-0.77083421669442453</v>
      </c>
      <c r="BA687">
        <f t="shared" si="629"/>
        <v>0.23624648318183339</v>
      </c>
      <c r="BB687">
        <f t="shared" si="630"/>
        <v>-12.532692955514026</v>
      </c>
      <c r="BC687">
        <f t="shared" si="631"/>
        <v>4.6975000234370619</v>
      </c>
      <c r="BD687">
        <f t="shared" si="632"/>
        <v>269.14692591309415</v>
      </c>
      <c r="BF687">
        <f>20*LOG(BA687*J687*F687*C687)</f>
        <v>-77.932172460690026</v>
      </c>
      <c r="BG687">
        <f>(180/Pi)*(D687+H687+BC687)</f>
        <v>179.04880643139052</v>
      </c>
      <c r="BH687">
        <f t="shared" si="635"/>
        <v>359.04880643139052</v>
      </c>
      <c r="BI687">
        <f t="shared" si="636"/>
        <v>-0.95119356860948301</v>
      </c>
    </row>
    <row r="688" spans="1:69" x14ac:dyDescent="0.2">
      <c r="A688">
        <f>'Bode Plots Calculations'!BK5*1000</f>
        <v>48000</v>
      </c>
      <c r="B688">
        <f t="shared" si="591"/>
        <v>48</v>
      </c>
      <c r="C688">
        <f>SQRT((A688/Fesr)^2+1)</f>
        <v>3.1487807846992695</v>
      </c>
      <c r="D688">
        <f>ATAN(A688/Fesr)</f>
        <v>1.2476166376989335</v>
      </c>
      <c r="F688">
        <f t="shared" ref="F688" si="637">(Ro/(Ro+Rdcr))/SQRT((A688/(Q*Fo))^2+(1-(A688^2/Fo^2))^2)</f>
        <v>2.2143034831326241E-3</v>
      </c>
      <c r="G688">
        <f t="shared" ref="G688" si="638">-ATAN(A688*Fo/(Q*(Fo^2-A688^2)))</f>
        <v>1.9385539822485868E-2</v>
      </c>
      <c r="H688">
        <f t="shared" ref="H688" si="639">IF(G688&gt;0,G688-Pi,G688)</f>
        <v>-3.1222071101775142</v>
      </c>
      <c r="J688">
        <f t="shared" si="597"/>
        <v>15</v>
      </c>
      <c r="M688">
        <f t="shared" ref="M688" si="640">1/(2*Pi*_Rfb1*(Cc1ea_u+Cc2ea_u)*A688)</f>
        <v>7.0281232457287818E-2</v>
      </c>
      <c r="N688">
        <f t="shared" si="599"/>
        <v>-1.5707963250000001</v>
      </c>
      <c r="O688">
        <f t="shared" ref="O688" si="641">SQRT(1+(A688/Fz1_u)^2)</f>
        <v>14.258231592076418</v>
      </c>
      <c r="P688">
        <f t="shared" ref="P688" si="642">ATAN(A688/Fz1_u)</f>
        <v>1.5006037765135201</v>
      </c>
      <c r="Q688">
        <f t="shared" ref="Q688" si="643">SQRT(1+(A688/Fz2_u)^2)</f>
        <v>19.731436286666483</v>
      </c>
      <c r="R688">
        <f t="shared" ref="R688" si="644">ATAN(A688/Fz2_u)</f>
        <v>1.5200940582250635</v>
      </c>
      <c r="S688">
        <f t="shared" ref="S688" si="645">1/SQRT(1+(A688/Fp1_u)^2)</f>
        <v>0.48740865467105371</v>
      </c>
      <c r="T688">
        <f t="shared" ref="T688" si="646">-ATAN(A688/Fp1_u)</f>
        <v>-1.0616767712905972</v>
      </c>
      <c r="U688">
        <f t="shared" ref="U688" si="647">1/SQRT(1+(A688/Fp2_u)^2)</f>
        <v>0.99998527632664436</v>
      </c>
      <c r="V688">
        <f t="shared" ref="V688" si="648">-ATAN(A688/Fp2_u)</f>
        <v>-5.4265476109232498E-3</v>
      </c>
      <c r="X688">
        <f>20*LOG(C688*J688*O688*Q688*F688*M688*S688*U688)</f>
        <v>6.8428069928984911E-2</v>
      </c>
      <c r="Y688">
        <f>(180/Pi)*(D688+H688+N688+P688+R688+T688+V688)</f>
        <v>-85.473401745918011</v>
      </c>
      <c r="Z688">
        <f t="shared" ref="Z688" si="649">Y688+180</f>
        <v>94.526598254081989</v>
      </c>
      <c r="AC688">
        <v>1</v>
      </c>
      <c r="AD688">
        <f t="shared" ref="AD688" si="650">Rcea1_u*Cc1ea_u*A688*2*Pi</f>
        <v>14.223120899904</v>
      </c>
      <c r="AE688">
        <f t="shared" ref="AE688" si="651">-Rcea1_u*Cc1ea_u*Cc2ea_u*(A688*2*Pi)^2</f>
        <v>-4.2895921996031812E-6</v>
      </c>
      <c r="AF688">
        <f t="shared" ref="AF688" si="652">(Cc2ea_u+Cc1ea_u)*A688*2*Pi</f>
        <v>7.904749762224E-4</v>
      </c>
      <c r="AG688">
        <f t="shared" ref="AG688" si="653">AC688*AE688/(AE688^2+AF688^2)+AD688*AF688/(AE688^2+AF688^2)</f>
        <v>17985.737760704556</v>
      </c>
      <c r="AH688">
        <f t="shared" ref="AH688" si="654">AD688*AE688/(AE688^2+AF688^2)-AC688*AF688/(AE688^2+AF688^2)</f>
        <v>-1362.663604545744</v>
      </c>
      <c r="AJ688">
        <f t="shared" si="616"/>
        <v>18000</v>
      </c>
      <c r="AK688">
        <f t="shared" ref="AK688" si="655">_Rfb1*Rcea2_u*Cc3ea_u*A688*2*Pi</f>
        <v>32246.312269247996</v>
      </c>
      <c r="AL688">
        <v>1</v>
      </c>
      <c r="AM688">
        <f t="shared" ref="AM688" si="656">(_Rfb1+Rcea2_u)*Cc3ea_u*A688*2*Pi</f>
        <v>19.706079720096</v>
      </c>
      <c r="AN688">
        <f t="shared" ref="AN688" si="657">AJ688*AL688/(AL688^2+AM688^2)+AK688*AM688/(AL688^2+AM688^2)</f>
        <v>1678.3939296961853</v>
      </c>
      <c r="AO688">
        <f t="shared" ref="AO688" si="658">AK688*AL688/(AL688^2+AM688^2)-AJ688*AM688/(AL688^2+AM688^2)</f>
        <v>-828.25231107023558</v>
      </c>
      <c r="AQ688">
        <f t="shared" ref="AQ688" si="659">Eadcg/(1+(Eadcg*A688/GBP)^2)</f>
        <v>1.0849517196484757</v>
      </c>
      <c r="AR688">
        <f t="shared" ref="AR688" si="660">-(A688*Eadcg*Eadcg/GBP)/(1+(Eadcg*A688/GBP)^2)</f>
        <v>-104.15536508625367</v>
      </c>
      <c r="AT688">
        <f t="shared" ref="AT688" si="661">-AR688*AH688+AG688*AQ688</f>
        <v>-122415.06810858942</v>
      </c>
      <c r="AU688">
        <f t="shared" ref="AU688" si="662">AQ688*AH688+AG688*AR688</f>
        <v>-1874789.5070328556</v>
      </c>
      <c r="AV688">
        <f t="shared" ref="AV688" si="663">IF(AT688&lt;0,ATAN(AU688/AT688)+Pi,ATAN(AU688/AT688))</f>
        <v>4.6471861688335663</v>
      </c>
      <c r="AW688">
        <f t="shared" ref="AW688" si="664">AG688-AH688*AO688/_Rfb2+AG688*AN688/_Rfb2+AN688-AO688*AR688+AQ688*AN688</f>
        <v>-42584.33031481388</v>
      </c>
      <c r="AX688">
        <f t="shared" ref="AX688" si="665">AH688+AH688*AN688/_Rfb2+AG688*AO688/_Rfb2+AO688+AO688*AQ688+AN688*AR688</f>
        <v>-191029.78768223626</v>
      </c>
      <c r="AY688">
        <f t="shared" ref="AY688" si="666">IF(AW688&lt;0,ATAN(AX688/AW688)+Pi,ATAN(AX688/AW688))</f>
        <v>4.4930553374689026</v>
      </c>
      <c r="BA688">
        <f t="shared" ref="BA688" si="667">SQRT(AT688^2+AU688^2)/SQRT(AW688^2+AX688^2)</f>
        <v>9.5993992216785067</v>
      </c>
      <c r="BB688">
        <f t="shared" ref="BB688" si="668">20*LOG(BA688)</f>
        <v>19.644881071469754</v>
      </c>
      <c r="BC688">
        <f t="shared" ref="BC688" si="669">AV688-AY688</f>
        <v>0.15413083136466366</v>
      </c>
      <c r="BD688">
        <f t="shared" ref="BD688" si="670">BC688*180/Pi</f>
        <v>8.8310461401287839</v>
      </c>
      <c r="BF688">
        <v>0</v>
      </c>
      <c r="BG688">
        <f>(180/Pi)*(D688+H688+BC688)</f>
        <v>-98.575076371058174</v>
      </c>
      <c r="BH688">
        <f t="shared" ref="BH688:BH690" si="671">IF(BG688&gt;180,BG688-180,BG688+180)</f>
        <v>81.424923628941826</v>
      </c>
      <c r="BI688">
        <f t="shared" ref="BI688:BI690" si="672">IF(BH688&gt;180,BH688-360,BH688)</f>
        <v>81.424923628941826</v>
      </c>
    </row>
    <row r="689" spans="1:61" x14ac:dyDescent="0.2">
      <c r="A689">
        <v>1000000</v>
      </c>
      <c r="B689">
        <f t="shared" si="591"/>
        <v>1000</v>
      </c>
      <c r="BG689">
        <f>BG688</f>
        <v>-98.575076371058174</v>
      </c>
      <c r="BH689">
        <f t="shared" si="671"/>
        <v>81.424923628941826</v>
      </c>
      <c r="BI689">
        <f t="shared" si="672"/>
        <v>81.424923628941826</v>
      </c>
    </row>
    <row r="690" spans="1:61" x14ac:dyDescent="0.2">
      <c r="A690">
        <f>'Bode Plots Calculations'!BK5*1000</f>
        <v>48000</v>
      </c>
      <c r="B690">
        <f t="shared" si="591"/>
        <v>48</v>
      </c>
      <c r="BG690">
        <f>BG688</f>
        <v>-98.575076371058174</v>
      </c>
      <c r="BH690">
        <f t="shared" si="671"/>
        <v>81.424923628941826</v>
      </c>
      <c r="BI690">
        <f t="shared" si="672"/>
        <v>81.424923628941826</v>
      </c>
    </row>
    <row r="691" spans="1:61" x14ac:dyDescent="0.2">
      <c r="A691">
        <f>'Bode Plots Calculations'!BK5*1000</f>
        <v>48000</v>
      </c>
      <c r="B691">
        <f t="shared" si="591"/>
        <v>48</v>
      </c>
      <c r="BG691">
        <v>-90</v>
      </c>
    </row>
    <row r="692" spans="1:61" x14ac:dyDescent="0.2">
      <c r="A692">
        <f>'Bode Plots Calculations'!BK5*1000</f>
        <v>48000</v>
      </c>
      <c r="B692">
        <f t="shared" si="591"/>
        <v>48</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C9"/>
  <sheetViews>
    <sheetView zoomScaleNormal="100" workbookViewId="0">
      <selection activeCell="B15" sqref="B15"/>
    </sheetView>
  </sheetViews>
  <sheetFormatPr defaultRowHeight="12.75" x14ac:dyDescent="0.2"/>
  <cols>
    <col min="1" max="1" width="10.5703125" style="439" customWidth="1"/>
    <col min="2" max="2" width="133.7109375" style="439" customWidth="1"/>
    <col min="3" max="16384" width="9.140625" style="439"/>
  </cols>
  <sheetData>
    <row r="2" spans="1:3" x14ac:dyDescent="0.2">
      <c r="A2" s="439" t="str">
        <f>IF(RDSON_sense=1, "SCH_RDSON", "SCH_SHUNT")</f>
        <v>SCH_RDSON</v>
      </c>
    </row>
    <row r="5" spans="1:3" ht="403.5" customHeight="1" x14ac:dyDescent="0.2">
      <c r="B5" s="440"/>
    </row>
    <row r="6" spans="1:3" ht="12" customHeight="1" x14ac:dyDescent="0.2">
      <c r="B6" s="440"/>
    </row>
    <row r="7" spans="1:3" ht="34.5" customHeight="1" x14ac:dyDescent="0.2"/>
    <row r="8" spans="1:3" ht="404.1" customHeight="1" x14ac:dyDescent="0.2">
      <c r="B8" s="440"/>
      <c r="C8" s="441"/>
    </row>
    <row r="9" spans="1:3" x14ac:dyDescent="0.2">
      <c r="B9" s="440"/>
    </row>
  </sheetData>
  <phoneticPr fontId="105"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A28" workbookViewId="0">
      <selection activeCell="B34" sqref="B34"/>
    </sheetView>
  </sheetViews>
  <sheetFormatPr defaultRowHeight="12.75" x14ac:dyDescent="0.2"/>
  <cols>
    <col min="1" max="1" width="19.85546875" customWidth="1"/>
    <col min="2" max="2" width="13.140625" bestFit="1" customWidth="1"/>
    <col min="4" max="4" width="61.5703125" customWidth="1"/>
    <col min="8" max="8" width="11" bestFit="1" customWidth="1"/>
    <col min="10" max="10" width="12.42578125" bestFit="1" customWidth="1"/>
    <col min="11" max="11" width="12.42578125" customWidth="1"/>
    <col min="12" max="12" width="10" customWidth="1"/>
    <col min="13" max="13" width="11" customWidth="1"/>
    <col min="14" max="14" width="11.42578125" customWidth="1"/>
    <col min="15" max="15" width="10.28515625" bestFit="1" customWidth="1"/>
    <col min="16" max="16" width="8" customWidth="1"/>
    <col min="17" max="17" width="11.85546875" style="45" customWidth="1"/>
    <col min="18" max="18" width="10.28515625" style="9" customWidth="1"/>
    <col min="19" max="19" width="9.42578125" bestFit="1" customWidth="1"/>
    <col min="20" max="20" width="11.5703125" customWidth="1"/>
    <col min="21" max="21" width="12.5703125" bestFit="1" customWidth="1"/>
    <col min="22" max="22" width="12.28515625" bestFit="1" customWidth="1"/>
    <col min="23" max="23" width="10.5703125" bestFit="1" customWidth="1"/>
    <col min="24" max="25" width="10.28515625" customWidth="1"/>
    <col min="26" max="27" width="12.42578125" customWidth="1"/>
    <col min="28" max="28" width="11.140625" bestFit="1" customWidth="1"/>
    <col min="29" max="29" width="11.85546875" customWidth="1"/>
    <col min="30" max="30" width="12.42578125" customWidth="1"/>
    <col min="31" max="31" width="9.5703125" bestFit="1" customWidth="1"/>
    <col min="32" max="32" width="11.5703125" customWidth="1"/>
    <col min="33" max="34" width="12.7109375" customWidth="1"/>
    <col min="35" max="35" width="14.28515625" customWidth="1"/>
    <col min="36" max="36" width="10.85546875" bestFit="1" customWidth="1"/>
    <col min="37" max="37" width="10" customWidth="1"/>
    <col min="38" max="38" width="11.28515625" customWidth="1"/>
    <col min="39" max="39" width="10.7109375" customWidth="1"/>
    <col min="41" max="41" width="10" style="4" bestFit="1" customWidth="1"/>
    <col min="42" max="42" width="15" style="100" customWidth="1"/>
    <col min="43" max="43" width="14.85546875" style="10" customWidth="1"/>
    <col min="55" max="55" width="28.42578125" customWidth="1"/>
    <col min="58" max="58" width="12.42578125" bestFit="1" customWidth="1"/>
  </cols>
  <sheetData>
    <row r="1" spans="1:69" ht="12.75" customHeight="1" x14ac:dyDescent="0.2">
      <c r="A1" s="619" t="s">
        <v>195</v>
      </c>
      <c r="B1" s="619"/>
      <c r="C1" s="619"/>
      <c r="D1" s="619"/>
    </row>
    <row r="2" spans="1:69" ht="12.75" customHeight="1" x14ac:dyDescent="0.2">
      <c r="A2" s="619"/>
      <c r="B2" s="619"/>
      <c r="C2" s="619"/>
      <c r="D2" s="619"/>
    </row>
    <row r="3" spans="1:69" ht="12.75" customHeight="1" x14ac:dyDescent="0.2">
      <c r="A3" s="619"/>
      <c r="B3" s="619"/>
      <c r="C3" s="619"/>
      <c r="D3" s="619"/>
      <c r="AG3">
        <f>VsdBot</f>
        <v>0.8</v>
      </c>
    </row>
    <row r="4" spans="1:69" ht="12.75" customHeight="1" x14ac:dyDescent="0.2">
      <c r="A4" s="619"/>
      <c r="B4" s="619"/>
      <c r="C4" s="619"/>
      <c r="D4" s="619"/>
    </row>
    <row r="5" spans="1:69" x14ac:dyDescent="0.2">
      <c r="A5" s="11"/>
      <c r="B5" s="12"/>
      <c r="C5" s="6"/>
      <c r="D5" s="6"/>
    </row>
    <row r="6" spans="1:69" ht="13.5" customHeight="1" thickBot="1" x14ac:dyDescent="0.25">
      <c r="A6" s="620" t="s">
        <v>198</v>
      </c>
      <c r="B6" s="620"/>
      <c r="C6" s="620"/>
      <c r="D6" s="620"/>
      <c r="I6" s="13"/>
      <c r="J6" s="13"/>
      <c r="K6" s="13"/>
      <c r="L6" s="13"/>
      <c r="M6" s="13"/>
      <c r="AJ6" s="13"/>
      <c r="AK6" s="13"/>
      <c r="AM6" s="13"/>
      <c r="AN6" s="13"/>
      <c r="AO6" s="14"/>
      <c r="BH6">
        <v>80</v>
      </c>
      <c r="BI6">
        <v>100</v>
      </c>
      <c r="BJ6">
        <v>120</v>
      </c>
      <c r="BK6">
        <v>140</v>
      </c>
      <c r="BL6">
        <v>160</v>
      </c>
      <c r="BM6">
        <v>180</v>
      </c>
      <c r="BN6">
        <v>20</v>
      </c>
      <c r="BO6">
        <v>30</v>
      </c>
      <c r="BP6">
        <v>40</v>
      </c>
      <c r="BQ6">
        <v>50</v>
      </c>
    </row>
    <row r="7" spans="1:69" ht="13.5" thickBot="1" x14ac:dyDescent="0.25">
      <c r="A7" s="620"/>
      <c r="B7" s="620"/>
      <c r="C7" s="620"/>
      <c r="D7" s="620"/>
      <c r="G7" s="15" t="s">
        <v>118</v>
      </c>
      <c r="H7" s="16"/>
      <c r="I7" s="17"/>
      <c r="J7" s="17"/>
      <c r="K7" s="563"/>
      <c r="L7" s="563"/>
      <c r="M7" s="563"/>
      <c r="N7" s="15" t="s">
        <v>143</v>
      </c>
      <c r="O7" s="16"/>
      <c r="P7" s="16"/>
      <c r="Q7" s="18"/>
      <c r="R7" s="82" t="s">
        <v>36</v>
      </c>
      <c r="S7" s="19"/>
      <c r="T7" s="17"/>
      <c r="U7" s="20" t="s">
        <v>127</v>
      </c>
      <c r="V7" s="21"/>
      <c r="W7" s="17"/>
      <c r="X7" s="15" t="s">
        <v>256</v>
      </c>
      <c r="Y7" s="16"/>
      <c r="Z7" s="16"/>
      <c r="AA7" s="544"/>
      <c r="AB7" s="16"/>
      <c r="AC7" s="17"/>
      <c r="AD7" s="20" t="s">
        <v>255</v>
      </c>
      <c r="AE7" s="21"/>
      <c r="AF7" s="83"/>
      <c r="AG7" s="17"/>
      <c r="AH7" s="471" t="s">
        <v>620</v>
      </c>
      <c r="AI7" s="84" t="s">
        <v>372</v>
      </c>
      <c r="AJ7" s="16" t="s">
        <v>371</v>
      </c>
      <c r="AK7" s="85" t="s">
        <v>237</v>
      </c>
      <c r="AL7" s="86"/>
      <c r="AM7" s="87"/>
      <c r="AN7" s="88"/>
      <c r="AO7" s="15" t="s">
        <v>254</v>
      </c>
      <c r="AP7" s="101"/>
      <c r="AQ7" s="16"/>
      <c r="AR7" s="16"/>
      <c r="AS7" s="16"/>
    </row>
    <row r="8" spans="1:69" ht="64.5" thickBot="1" x14ac:dyDescent="0.45">
      <c r="A8" s="22" t="s">
        <v>189</v>
      </c>
      <c r="B8" s="22"/>
      <c r="C8" s="22"/>
      <c r="D8" s="6"/>
      <c r="G8" s="23" t="s">
        <v>120</v>
      </c>
      <c r="H8" s="24" t="s">
        <v>6</v>
      </c>
      <c r="I8" s="24" t="s">
        <v>247</v>
      </c>
      <c r="J8" s="25" t="s">
        <v>248</v>
      </c>
      <c r="K8" s="564" t="s">
        <v>753</v>
      </c>
      <c r="L8" s="564" t="s">
        <v>754</v>
      </c>
      <c r="M8" s="564" t="s">
        <v>752</v>
      </c>
      <c r="N8" s="23" t="s">
        <v>252</v>
      </c>
      <c r="O8" s="24" t="s">
        <v>165</v>
      </c>
      <c r="P8" s="24" t="s">
        <v>121</v>
      </c>
      <c r="Q8" s="89" t="s">
        <v>373</v>
      </c>
      <c r="R8" s="90" t="s">
        <v>157</v>
      </c>
      <c r="S8" s="26" t="s">
        <v>164</v>
      </c>
      <c r="T8" s="89" t="s">
        <v>374</v>
      </c>
      <c r="U8" s="23" t="s">
        <v>157</v>
      </c>
      <c r="V8" s="24" t="s">
        <v>163</v>
      </c>
      <c r="W8" s="89" t="s">
        <v>375</v>
      </c>
      <c r="X8" s="23" t="s">
        <v>157</v>
      </c>
      <c r="Y8" s="24" t="s">
        <v>162</v>
      </c>
      <c r="Z8" s="24" t="s">
        <v>755</v>
      </c>
      <c r="AA8" s="565" t="s">
        <v>732</v>
      </c>
      <c r="AB8" s="91" t="s">
        <v>377</v>
      </c>
      <c r="AC8" s="89" t="s">
        <v>376</v>
      </c>
      <c r="AD8" s="23" t="s">
        <v>157</v>
      </c>
      <c r="AE8" s="24" t="s">
        <v>162</v>
      </c>
      <c r="AF8" s="24" t="s">
        <v>172</v>
      </c>
      <c r="AG8" s="92" t="s">
        <v>757</v>
      </c>
      <c r="AH8" s="92" t="s">
        <v>621</v>
      </c>
      <c r="AI8" s="89" t="s">
        <v>172</v>
      </c>
      <c r="AJ8" s="93" t="s">
        <v>171</v>
      </c>
      <c r="AK8" s="94" t="s">
        <v>197</v>
      </c>
      <c r="AL8" s="95" t="s">
        <v>270</v>
      </c>
      <c r="AM8" s="96" t="s">
        <v>379</v>
      </c>
      <c r="AN8" s="97" t="s">
        <v>253</v>
      </c>
      <c r="AO8" s="98" t="s">
        <v>122</v>
      </c>
      <c r="AP8" s="102" t="s">
        <v>123</v>
      </c>
      <c r="AQ8" s="99" t="s">
        <v>124</v>
      </c>
      <c r="AR8" s="24" t="s">
        <v>257</v>
      </c>
      <c r="AS8" s="24" t="s">
        <v>258</v>
      </c>
      <c r="BF8" t="s">
        <v>220</v>
      </c>
      <c r="BH8" t="s">
        <v>212</v>
      </c>
      <c r="BI8" t="s">
        <v>213</v>
      </c>
      <c r="BJ8" t="s">
        <v>214</v>
      </c>
      <c r="BK8" t="s">
        <v>215</v>
      </c>
      <c r="BL8" t="s">
        <v>216</v>
      </c>
      <c r="BM8" t="s">
        <v>217</v>
      </c>
      <c r="BN8" t="s">
        <v>221</v>
      </c>
      <c r="BO8" t="s">
        <v>222</v>
      </c>
      <c r="BP8" t="s">
        <v>223</v>
      </c>
      <c r="BQ8" t="s">
        <v>224</v>
      </c>
    </row>
    <row r="9" spans="1:69" x14ac:dyDescent="0.2">
      <c r="A9" s="27" t="s">
        <v>125</v>
      </c>
      <c r="B9" s="28" t="s">
        <v>201</v>
      </c>
      <c r="C9" s="29" t="s">
        <v>148</v>
      </c>
      <c r="D9" s="30" t="s">
        <v>188</v>
      </c>
      <c r="G9">
        <v>0</v>
      </c>
      <c r="H9">
        <f t="shared" ref="H9:H72" si="0">Iout*(G9/200)</f>
        <v>0</v>
      </c>
      <c r="I9" s="463">
        <f t="shared" ref="I9:I73" si="1">(Vout+Rdcr*H9+RdsonBot*H9)/(Vin-RdsonTop*H9+RdsonBot*H9)</f>
        <v>0.4916666666666667</v>
      </c>
      <c r="J9" s="464">
        <f t="shared" ref="J9:J72" si="2">(Vin-Vout)*I9/(Fsw*Lout2)</f>
        <v>7.9977777777777774</v>
      </c>
      <c r="K9" s="464">
        <f>H9+J9/2</f>
        <v>3.9988888888888887</v>
      </c>
      <c r="L9" s="464">
        <f>H9-J9/2</f>
        <v>-3.9988888888888887</v>
      </c>
      <c r="M9" s="77">
        <f t="shared" ref="M9:M72" si="3">IF(MIN(Vin, -L9/(CossTop+CossBot)*0.00000002)&lt;0, 0, MIN(Vin, -L9/(CossTop+CossBot)*0.00000002))</f>
        <v>24</v>
      </c>
      <c r="N9" s="463">
        <f t="shared" ref="N9:N40" si="4">SQRT(H9^2+(J9^2)/12)</f>
        <v>2.3087595764594031</v>
      </c>
      <c r="O9" s="463">
        <f t="shared" ref="O9:O73" si="5">(N9^2*Rdcr*(1+Ltc*Ta-Ltc*25))/(1-N9^2*Rdcr*Ltc*ThetaCa)</f>
        <v>2.6708801034526542E-2</v>
      </c>
      <c r="P9">
        <f t="shared" ref="P9:P72" si="6">Core_Loss</f>
        <v>0.5</v>
      </c>
      <c r="Q9" s="463">
        <f>O9+P9</f>
        <v>0.52670880103452655</v>
      </c>
      <c r="R9" s="9">
        <f>J9/(2*SQRT(3))</f>
        <v>2.3087595764594036</v>
      </c>
      <c r="S9" s="9">
        <f t="shared" ref="S9:S73" si="7">RCoutEsr*R9^2</f>
        <v>1.5991112345679015E-2</v>
      </c>
      <c r="T9" s="9">
        <f>S9</f>
        <v>1.5991112345679015E-2</v>
      </c>
      <c r="U9" s="463">
        <f t="shared" ref="U9:U40" si="8">SQRT(I9)*SQRT(H9^2+(J9^2)/12)</f>
        <v>1.6188778936135755</v>
      </c>
      <c r="V9" s="465">
        <f t="shared" ref="V9:V73" si="9">RCinEsr*U9^2</f>
        <v>2.6207656344307273E-2</v>
      </c>
      <c r="W9" s="463">
        <f>V9</f>
        <v>2.6207656344307273E-2</v>
      </c>
      <c r="X9" s="463">
        <f t="shared" ref="X9:X40" si="10">SQRT(I9)*SQRT(H9^2+(J9^2)/12)</f>
        <v>1.6188778936135755</v>
      </c>
      <c r="Y9" s="463">
        <f t="shared" ref="Y9:Y73" si="11">RdsonTop*X9^2</f>
        <v>4.7173781419753086E-3</v>
      </c>
      <c r="Z9" s="463">
        <f t="shared" ref="Z9:Z72" si="12">IF(L9&lt;0, (Vin*K9*Tf/2)*Fsw, (Vin*L9*Tr/2+Vin*K9*Tf/2)*Fsw)</f>
        <v>0.18396677992744864</v>
      </c>
      <c r="AA9" s="463">
        <f t="shared" ref="AA9:AA72" si="13">(0.5*CossTop*(Vin-M9)^2-0.5*CossBot*(Vin-M9)^2+(QossBot*(Vin-M9)/Vin)*Vin)*Fsw</f>
        <v>0</v>
      </c>
      <c r="AB9" s="463">
        <f t="shared" ref="AB9:AB72" si="14">IF(L9&gt;0,0,-L9*VsdTop*Deadtime*Fsw)</f>
        <v>4.7986666666666664E-2</v>
      </c>
      <c r="AC9" s="463">
        <f t="shared" ref="AC9:AC40" si="15">(AB9+AA9+Z9+Y9*(1+RdsonTopTc*Ta-RdsonTopTc*25))/(1-Y9*RdsonTopTc*ThetaJaTop)</f>
        <v>0.23689432876178237</v>
      </c>
      <c r="AD9" s="463">
        <f t="shared" ref="AD9:AD40" si="16">SQRT(1-I9)*SQRT(H9^2+(J9^2)/12)</f>
        <v>1.6460878310291576</v>
      </c>
      <c r="AE9" s="463">
        <f t="shared" ref="AE9:AE73" si="17">RdsonBot*AD9^2</f>
        <v>4.8772892654320972E-3</v>
      </c>
      <c r="AF9" s="463">
        <f t="shared" ref="AF9:AF72" si="18">IF(L9&lt;0, Deadtime*Fsw*IF(VfdSky&gt;0,0,VsdBot)*K9, Deadtime*Fsw*IF(VfdSky&gt;0,0,VsdBot)*(K9+L9))</f>
        <v>4.7986666666666664E-2</v>
      </c>
      <c r="AG9" s="463">
        <f t="shared" ref="AG9:AG40" si="19">(AF9+AE9*(1+RdsonBotTc*Ta-RdsonBotTc*25))/(1-AE9*RdsonBotTc*ThetaJaBot)</f>
        <v>5.2915572843179208E-2</v>
      </c>
      <c r="AH9" s="463">
        <f t="shared" ref="AH9:AH40" si="20">IF(RDSON_sense=1, 0, AD9^2*Rshunt)</f>
        <v>0</v>
      </c>
      <c r="AI9">
        <f t="shared" ref="AI9:AI72" si="21">2*Deadtime*Fsw*IF(VfdSky&gt;0,VfdSky,0)*H9</f>
        <v>0</v>
      </c>
      <c r="AJ9" s="464">
        <f t="shared" ref="AJ9:AJ72" si="22">IF(QrrSky&gt;0,QrrSky,QrrBot)*Fsw*(Vin-H9*RdsonTop)</f>
        <v>0.43199999999999994</v>
      </c>
      <c r="AK9">
        <f t="shared" ref="AK9:AK73" si="23">Iq*Vin</f>
        <v>7.2000000000000008E-2</v>
      </c>
      <c r="AL9" s="464">
        <f t="shared" ref="AL9:AL73" si="24">Vin*(QgTop+QgBot)*Fsw</f>
        <v>0.98399999999999999</v>
      </c>
      <c r="AM9" s="464">
        <f t="shared" ref="AM9:AM73" si="25">(Vin-Vdd)*Fsw*(QgTop+QgBot)+(RdsonDRT+RdsonDRT2)*Fsw*QgTop*Vdd/(RdsonDRT+2*RGateTop+RdsonDRT2)+(RdsonDRB+RdsonDRB2)*Fsw*QgBot*Vdd/(RdsonDRB+2*RGateBot+RdsonDRB2)</f>
        <v>0.82265384615384629</v>
      </c>
      <c r="AN9" s="464">
        <f>SUM(AK9:AL9)</f>
        <v>1.056</v>
      </c>
      <c r="AO9" s="464">
        <f t="shared" ref="AO9:AO40" si="26">SUM(Q9,T9,W9,AC9,AJ9,AI9,AG9,AN9, AH9)</f>
        <v>2.3467174713294741</v>
      </c>
      <c r="AP9" s="100">
        <f t="shared" ref="AP9:AP72" si="27">Vout*H9</f>
        <v>0</v>
      </c>
      <c r="AQ9" s="10">
        <f>AP9/(AP9+AO9)</f>
        <v>0</v>
      </c>
      <c r="AR9" s="77">
        <f t="shared" ref="AR9:AR40" si="28">ThetaJaTop*AC9</f>
        <v>11.844716438089119</v>
      </c>
      <c r="AS9" s="77">
        <f>AG9*ThetaJaBot</f>
        <v>2.6457786421589602</v>
      </c>
      <c r="AU9">
        <f>AQ9*100</f>
        <v>0</v>
      </c>
      <c r="BC9" t="s">
        <v>225</v>
      </c>
      <c r="BD9" s="31">
        <v>70</v>
      </c>
      <c r="BE9" s="31">
        <v>70</v>
      </c>
      <c r="BF9" s="31">
        <v>70</v>
      </c>
      <c r="BG9" s="32">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
      <c r="A10" s="409"/>
      <c r="B10" s="410"/>
      <c r="C10" s="29"/>
      <c r="D10" s="30"/>
      <c r="G10">
        <v>1</v>
      </c>
      <c r="H10">
        <f t="shared" si="0"/>
        <v>0.1</v>
      </c>
      <c r="I10" s="463">
        <f t="shared" ref="I10" si="30">(Vout+Rdcr*H10+RdsonBot*H10)/(Vin-RdsonTop*H10+RdsonBot*H10)</f>
        <v>0.49169500000000005</v>
      </c>
      <c r="J10" s="464">
        <f t="shared" si="2"/>
        <v>7.9982386666666665</v>
      </c>
      <c r="K10" s="464">
        <f t="shared" ref="K10:K73" si="31">H10+J10/2</f>
        <v>4.0991193333333333</v>
      </c>
      <c r="L10" s="464">
        <f t="shared" ref="L10:L73" si="32">H10-J10/2</f>
        <v>-3.8991193333333332</v>
      </c>
      <c r="M10" s="77">
        <f t="shared" si="3"/>
        <v>24</v>
      </c>
      <c r="N10" s="463">
        <f t="shared" si="4"/>
        <v>2.3110571493179224</v>
      </c>
      <c r="O10" s="463">
        <f t="shared" ref="O10" si="33">(N10^2*Rdcr*(1+Ltc*Ta-Ltc*25))/(1-N10^2*Rdcr*Ltc*ThetaCa)</f>
        <v>2.6762100128787991E-2</v>
      </c>
      <c r="P10">
        <f t="shared" si="6"/>
        <v>0.5</v>
      </c>
      <c r="Q10" s="463">
        <f t="shared" ref="Q10:Q73" si="34">O10+P10</f>
        <v>0.52676210012878799</v>
      </c>
      <c r="R10" s="9">
        <f>J10/(2*SQRT(3))</f>
        <v>2.3088926236214369</v>
      </c>
      <c r="S10" s="9">
        <f t="shared" ref="S10" si="35">RCoutEsr*R10^2</f>
        <v>1.5992955442240449E-2</v>
      </c>
      <c r="T10" s="9">
        <f>S10</f>
        <v>1.5992955442240449E-2</v>
      </c>
      <c r="U10" s="463">
        <f t="shared" si="8"/>
        <v>1.6205356188795952</v>
      </c>
      <c r="V10" s="465">
        <f t="shared" ref="V10" si="36">RCinEsr*U10^2</f>
        <v>2.6261356920574727E-2</v>
      </c>
      <c r="W10" s="463">
        <f>V10</f>
        <v>2.6261356920574727E-2</v>
      </c>
      <c r="X10" s="463">
        <f t="shared" si="10"/>
        <v>1.6205356188795952</v>
      </c>
      <c r="Y10" s="463">
        <f t="shared" ref="Y10" si="37">RdsonTop*X10^2</f>
        <v>4.7270442457034512E-3</v>
      </c>
      <c r="Z10" s="463">
        <f t="shared" si="12"/>
        <v>0.18857782880314394</v>
      </c>
      <c r="AA10" s="463">
        <f t="shared" si="13"/>
        <v>0</v>
      </c>
      <c r="AB10" s="463">
        <f t="shared" si="14"/>
        <v>4.6789431999999992E-2</v>
      </c>
      <c r="AC10" s="463">
        <f t="shared" si="15"/>
        <v>0.24032150712832534</v>
      </c>
      <c r="AD10" s="463">
        <f t="shared" si="16"/>
        <v>1.6476800221390104</v>
      </c>
      <c r="AE10" s="463">
        <f t="shared" ref="AE10" si="38">RdsonBot*AD10^2</f>
        <v>4.8867290196408179E-3</v>
      </c>
      <c r="AF10" s="463">
        <f t="shared" si="18"/>
        <v>4.9189431999999998E-2</v>
      </c>
      <c r="AG10" s="463">
        <f t="shared" si="19"/>
        <v>5.4129063833048607E-2</v>
      </c>
      <c r="AH10" s="463">
        <f t="shared" si="20"/>
        <v>0</v>
      </c>
      <c r="AI10">
        <f t="shared" si="21"/>
        <v>0</v>
      </c>
      <c r="AJ10" s="464">
        <f t="shared" si="22"/>
        <v>0.43199675999999998</v>
      </c>
      <c r="AK10">
        <f t="shared" si="23"/>
        <v>7.2000000000000008E-2</v>
      </c>
      <c r="AL10" s="464">
        <f t="shared" si="24"/>
        <v>0.98399999999999999</v>
      </c>
      <c r="AM10" s="464">
        <f t="shared" si="25"/>
        <v>0.82265384615384629</v>
      </c>
      <c r="AN10" s="464">
        <f>SUM(AK10:AL10)</f>
        <v>1.056</v>
      </c>
      <c r="AO10" s="464">
        <f t="shared" si="26"/>
        <v>2.3514637434529773</v>
      </c>
      <c r="AP10" s="100">
        <f t="shared" si="27"/>
        <v>1.1800000000000002</v>
      </c>
      <c r="AQ10" s="10">
        <f>AP10/(AP10+AO10)</f>
        <v>0.33413906689191308</v>
      </c>
      <c r="AR10" s="77">
        <f t="shared" si="28"/>
        <v>12.016075356416266</v>
      </c>
      <c r="AS10" s="77">
        <f>AG10*ThetaJaBot</f>
        <v>2.7064531916524306</v>
      </c>
      <c r="AU10">
        <f>AQ10*100</f>
        <v>33.413906689191307</v>
      </c>
      <c r="BD10" s="31"/>
      <c r="BE10" s="31"/>
      <c r="BF10" s="31"/>
      <c r="BG10" s="32"/>
    </row>
    <row r="11" spans="1:69" x14ac:dyDescent="0.2">
      <c r="A11" s="33" t="s">
        <v>4</v>
      </c>
      <c r="B11" s="5">
        <f>Vin</f>
        <v>24</v>
      </c>
      <c r="C11" s="473" t="s">
        <v>0</v>
      </c>
      <c r="D11" s="34" t="s">
        <v>4</v>
      </c>
      <c r="G11">
        <v>2</v>
      </c>
      <c r="H11">
        <f t="shared" si="0"/>
        <v>0.2</v>
      </c>
      <c r="I11" s="463">
        <f t="shared" si="1"/>
        <v>0.49172333333333335</v>
      </c>
      <c r="J11" s="464">
        <f t="shared" si="2"/>
        <v>7.9986995555555547</v>
      </c>
      <c r="K11" s="464">
        <f t="shared" si="31"/>
        <v>4.1993497777777771</v>
      </c>
      <c r="L11" s="464">
        <f t="shared" si="32"/>
        <v>-3.7993497777777772</v>
      </c>
      <c r="M11" s="77">
        <f t="shared" si="3"/>
        <v>24</v>
      </c>
      <c r="N11" s="463">
        <f t="shared" si="4"/>
        <v>2.3176711475826446</v>
      </c>
      <c r="O11" s="463">
        <f t="shared" si="5"/>
        <v>2.6915830166150706E-2</v>
      </c>
      <c r="P11">
        <f t="shared" si="6"/>
        <v>0.5</v>
      </c>
      <c r="Q11" s="463">
        <f t="shared" si="34"/>
        <v>0.52691583016615073</v>
      </c>
      <c r="R11" s="9">
        <f t="shared" ref="R11:R74" si="39">J11/(2*SQRT(3))</f>
        <v>2.3090256707834698</v>
      </c>
      <c r="S11" s="9">
        <f t="shared" si="7"/>
        <v>1.599479864501116E-2</v>
      </c>
      <c r="T11" s="9">
        <f t="shared" ref="T11:T74" si="40">S11</f>
        <v>1.599479864501116E-2</v>
      </c>
      <c r="U11" s="463">
        <f t="shared" si="8"/>
        <v>1.6252202420718627</v>
      </c>
      <c r="V11" s="465">
        <f t="shared" si="9"/>
        <v>2.6413408352401239E-2</v>
      </c>
      <c r="W11" s="463">
        <f t="shared" ref="W11:W74" si="41">V11</f>
        <v>2.6413408352401239E-2</v>
      </c>
      <c r="X11" s="463">
        <f t="shared" si="10"/>
        <v>1.6252202420718627</v>
      </c>
      <c r="Y11" s="463">
        <f t="shared" si="11"/>
        <v>4.7544135034322229E-3</v>
      </c>
      <c r="Z11" s="463">
        <f t="shared" si="12"/>
        <v>0.19318887767883922</v>
      </c>
      <c r="AA11" s="463">
        <f t="shared" si="13"/>
        <v>0</v>
      </c>
      <c r="AB11" s="463">
        <f t="shared" si="14"/>
        <v>4.559219733333332E-2</v>
      </c>
      <c r="AC11" s="463">
        <f t="shared" si="15"/>
        <v>0.24376728260762973</v>
      </c>
      <c r="AD11" s="463">
        <f t="shared" si="16"/>
        <v>1.6523494524757558</v>
      </c>
      <c r="AE11" s="463">
        <f t="shared" si="17"/>
        <v>4.9144656835744737E-3</v>
      </c>
      <c r="AF11" s="463">
        <f t="shared" si="18"/>
        <v>5.0392197333333326E-2</v>
      </c>
      <c r="AG11" s="463">
        <f t="shared" si="19"/>
        <v>5.536107703957114E-2</v>
      </c>
      <c r="AH11" s="463">
        <f t="shared" si="20"/>
        <v>0</v>
      </c>
      <c r="AI11">
        <f t="shared" si="21"/>
        <v>0</v>
      </c>
      <c r="AJ11" s="464">
        <f t="shared" si="22"/>
        <v>0.43199351999999996</v>
      </c>
      <c r="AK11">
        <f t="shared" si="23"/>
        <v>7.2000000000000008E-2</v>
      </c>
      <c r="AL11" s="464">
        <f t="shared" si="24"/>
        <v>0.98399999999999999</v>
      </c>
      <c r="AM11" s="464">
        <f t="shared" si="25"/>
        <v>0.82265384615384629</v>
      </c>
      <c r="AN11" s="464">
        <f t="shared" ref="AN11:AN74" si="42">SUM(AK11:AL11)</f>
        <v>1.056</v>
      </c>
      <c r="AO11" s="464">
        <f t="shared" si="26"/>
        <v>2.3564459168107641</v>
      </c>
      <c r="AP11" s="100">
        <f t="shared" si="27"/>
        <v>2.3600000000000003</v>
      </c>
      <c r="AQ11" s="10">
        <f t="shared" ref="AQ11:AQ74" si="43">AP11/(AP11+AO11)</f>
        <v>0.50037677556913862</v>
      </c>
      <c r="AR11" s="77">
        <f t="shared" si="28"/>
        <v>12.188364130381487</v>
      </c>
      <c r="AS11" s="77">
        <f t="shared" ref="AS11:AS74" si="44">AG11*ThetaJaBot</f>
        <v>2.7680538519785571</v>
      </c>
      <c r="AT11" s="10"/>
      <c r="AU11">
        <f t="shared" ref="AU11:AU74" si="45">AQ11*100</f>
        <v>50.037677556913863</v>
      </c>
      <c r="BC11" t="s">
        <v>226</v>
      </c>
      <c r="BD11" s="31">
        <v>90</v>
      </c>
      <c r="BE11" s="31">
        <v>90</v>
      </c>
      <c r="BF11" s="31">
        <v>90</v>
      </c>
      <c r="BG11" s="32">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
      <c r="A12" s="35" t="s">
        <v>5</v>
      </c>
      <c r="B12" s="5">
        <f>Vout</f>
        <v>11.8</v>
      </c>
      <c r="C12" s="473" t="s">
        <v>0</v>
      </c>
      <c r="D12" s="34" t="s">
        <v>5</v>
      </c>
      <c r="G12">
        <v>3</v>
      </c>
      <c r="H12">
        <f t="shared" si="0"/>
        <v>0.3</v>
      </c>
      <c r="I12" s="463">
        <f t="shared" si="1"/>
        <v>0.49175166666666675</v>
      </c>
      <c r="J12" s="464">
        <f t="shared" si="2"/>
        <v>7.9991604444444455</v>
      </c>
      <c r="K12" s="464">
        <f t="shared" si="31"/>
        <v>4.2995802222222226</v>
      </c>
      <c r="L12" s="464">
        <f t="shared" si="32"/>
        <v>-3.6995802222222229</v>
      </c>
      <c r="M12" s="77">
        <f t="shared" si="3"/>
        <v>24</v>
      </c>
      <c r="N12" s="463">
        <f t="shared" si="4"/>
        <v>2.3285647907377887</v>
      </c>
      <c r="O12" s="463">
        <f t="shared" si="5"/>
        <v>2.7169998541741135E-2</v>
      </c>
      <c r="P12">
        <f t="shared" si="6"/>
        <v>0.5</v>
      </c>
      <c r="Q12" s="463">
        <f t="shared" si="34"/>
        <v>0.52716999854174118</v>
      </c>
      <c r="R12" s="9">
        <f t="shared" si="39"/>
        <v>2.3091587179455035</v>
      </c>
      <c r="S12" s="9">
        <f t="shared" si="7"/>
        <v>1.5996641953991166E-2</v>
      </c>
      <c r="T12" s="9">
        <f t="shared" si="40"/>
        <v>1.5996641953991166E-2</v>
      </c>
      <c r="U12" s="463">
        <f t="shared" si="8"/>
        <v>1.6329062324523393</v>
      </c>
      <c r="V12" s="465">
        <f t="shared" si="9"/>
        <v>2.6663827639816937E-2</v>
      </c>
      <c r="W12" s="463">
        <f t="shared" si="41"/>
        <v>2.6663827639816937E-2</v>
      </c>
      <c r="X12" s="463">
        <f t="shared" si="10"/>
        <v>1.6329062324523393</v>
      </c>
      <c r="Y12" s="463">
        <f t="shared" si="11"/>
        <v>4.799488975167048E-3</v>
      </c>
      <c r="Z12" s="463">
        <f t="shared" si="12"/>
        <v>0.19779992655453454</v>
      </c>
      <c r="AA12" s="463">
        <f t="shared" si="13"/>
        <v>0</v>
      </c>
      <c r="AB12" s="463">
        <f t="shared" si="14"/>
        <v>4.4394962666666676E-2</v>
      </c>
      <c r="AC12" s="463">
        <f t="shared" si="15"/>
        <v>0.24723169535560247</v>
      </c>
      <c r="AD12" s="463">
        <f t="shared" si="16"/>
        <v>1.6600696433228421</v>
      </c>
      <c r="AE12" s="463">
        <f t="shared" si="17"/>
        <v>4.9604961972276509E-3</v>
      </c>
      <c r="AF12" s="463">
        <f t="shared" si="18"/>
        <v>5.1594962666666674E-2</v>
      </c>
      <c r="AG12" s="463">
        <f t="shared" si="19"/>
        <v>5.6611623212226958E-2</v>
      </c>
      <c r="AH12" s="463">
        <f t="shared" si="20"/>
        <v>0</v>
      </c>
      <c r="AI12">
        <f t="shared" si="21"/>
        <v>0</v>
      </c>
      <c r="AJ12" s="464">
        <f t="shared" si="22"/>
        <v>0.43199027999999995</v>
      </c>
      <c r="AK12">
        <f t="shared" si="23"/>
        <v>7.2000000000000008E-2</v>
      </c>
      <c r="AL12" s="464">
        <f t="shared" si="24"/>
        <v>0.98399999999999999</v>
      </c>
      <c r="AM12" s="464">
        <f t="shared" si="25"/>
        <v>0.82265384615384629</v>
      </c>
      <c r="AN12" s="464">
        <f t="shared" si="42"/>
        <v>1.056</v>
      </c>
      <c r="AO12" s="464">
        <f t="shared" si="26"/>
        <v>2.3616640667033786</v>
      </c>
      <c r="AP12" s="100">
        <f t="shared" si="27"/>
        <v>3.54</v>
      </c>
      <c r="AQ12" s="10">
        <f t="shared" si="43"/>
        <v>0.59983082059386261</v>
      </c>
      <c r="AR12" s="77">
        <f t="shared" si="28"/>
        <v>12.361584767780123</v>
      </c>
      <c r="AS12" s="77">
        <f t="shared" si="44"/>
        <v>2.8305811606113478</v>
      </c>
      <c r="AT12" s="10"/>
      <c r="AU12">
        <f t="shared" si="45"/>
        <v>59.983082059386263</v>
      </c>
      <c r="BC12" t="s">
        <v>231</v>
      </c>
      <c r="BD12" s="31">
        <v>60</v>
      </c>
      <c r="BE12" s="31">
        <v>60</v>
      </c>
      <c r="BF12" s="31">
        <v>60</v>
      </c>
      <c r="BG12" s="32">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
      <c r="A13" s="35" t="s">
        <v>7</v>
      </c>
      <c r="B13" s="5">
        <f>Fsw/1000</f>
        <v>500</v>
      </c>
      <c r="C13" s="473" t="s">
        <v>3</v>
      </c>
      <c r="D13" s="34" t="s">
        <v>173</v>
      </c>
      <c r="G13">
        <v>4</v>
      </c>
      <c r="H13">
        <f t="shared" si="0"/>
        <v>0.4</v>
      </c>
      <c r="I13" s="463">
        <f t="shared" si="1"/>
        <v>0.49178000000000005</v>
      </c>
      <c r="J13" s="464">
        <f t="shared" si="2"/>
        <v>7.9996213333333337</v>
      </c>
      <c r="K13" s="464">
        <f t="shared" si="31"/>
        <v>4.3998106666666672</v>
      </c>
      <c r="L13" s="464">
        <f t="shared" si="32"/>
        <v>-3.5998106666666669</v>
      </c>
      <c r="M13" s="77">
        <f t="shared" si="3"/>
        <v>24</v>
      </c>
      <c r="N13" s="463">
        <f t="shared" si="4"/>
        <v>2.3436784029370332</v>
      </c>
      <c r="O13" s="463">
        <f t="shared" si="5"/>
        <v>2.7524617482831828E-2</v>
      </c>
      <c r="P13">
        <f t="shared" si="6"/>
        <v>0.5</v>
      </c>
      <c r="Q13" s="463">
        <f t="shared" si="34"/>
        <v>0.52752461748283186</v>
      </c>
      <c r="R13" s="9">
        <f t="shared" si="39"/>
        <v>2.3092917651075369</v>
      </c>
      <c r="S13" s="9">
        <f t="shared" si="7"/>
        <v>1.599848536918045E-2</v>
      </c>
      <c r="T13" s="9">
        <f t="shared" si="40"/>
        <v>1.599848536918045E-2</v>
      </c>
      <c r="U13" s="463">
        <f t="shared" si="8"/>
        <v>1.6435520004810273</v>
      </c>
      <c r="V13" s="465">
        <f t="shared" si="9"/>
        <v>2.7012631782851872E-2</v>
      </c>
      <c r="W13" s="463">
        <f t="shared" si="41"/>
        <v>2.7012631782851872E-2</v>
      </c>
      <c r="X13" s="463">
        <f t="shared" si="10"/>
        <v>1.6435520004810273</v>
      </c>
      <c r="Y13" s="463">
        <f t="shared" si="11"/>
        <v>4.8622737209133363E-3</v>
      </c>
      <c r="Z13" s="463">
        <f t="shared" si="12"/>
        <v>0.20241097543022982</v>
      </c>
      <c r="AA13" s="463">
        <f t="shared" si="13"/>
        <v>0</v>
      </c>
      <c r="AB13" s="463">
        <f t="shared" si="14"/>
        <v>4.3197728000000005E-2</v>
      </c>
      <c r="AC13" s="463">
        <f t="shared" si="15"/>
        <v>0.25071478593416158</v>
      </c>
      <c r="AD13" s="463">
        <f t="shared" si="16"/>
        <v>1.6707977968947336</v>
      </c>
      <c r="AE13" s="463">
        <f t="shared" si="17"/>
        <v>5.0248175005949318E-3</v>
      </c>
      <c r="AF13" s="463">
        <f t="shared" si="18"/>
        <v>5.2797728000000009E-2</v>
      </c>
      <c r="AG13" s="463">
        <f t="shared" si="19"/>
        <v>5.7880713505028346E-2</v>
      </c>
      <c r="AH13" s="463">
        <f t="shared" si="20"/>
        <v>0</v>
      </c>
      <c r="AI13">
        <f t="shared" si="21"/>
        <v>0</v>
      </c>
      <c r="AJ13" s="464">
        <f t="shared" si="22"/>
        <v>0.43198703999999993</v>
      </c>
      <c r="AK13">
        <f t="shared" si="23"/>
        <v>7.2000000000000008E-2</v>
      </c>
      <c r="AL13" s="464">
        <f t="shared" si="24"/>
        <v>0.98399999999999999</v>
      </c>
      <c r="AM13" s="464">
        <f t="shared" si="25"/>
        <v>0.82265384615384629</v>
      </c>
      <c r="AN13" s="464">
        <f t="shared" si="42"/>
        <v>1.056</v>
      </c>
      <c r="AO13" s="464">
        <f t="shared" si="26"/>
        <v>2.3671182740740537</v>
      </c>
      <c r="AP13" s="100">
        <f t="shared" si="27"/>
        <v>4.7200000000000006</v>
      </c>
      <c r="AQ13" s="10">
        <f t="shared" si="43"/>
        <v>0.66599706925544111</v>
      </c>
      <c r="AR13" s="77">
        <f t="shared" si="28"/>
        <v>12.535739296708078</v>
      </c>
      <c r="AS13" s="77">
        <f t="shared" si="44"/>
        <v>2.8940356752514171</v>
      </c>
      <c r="AT13" s="10"/>
      <c r="AU13">
        <f t="shared" si="45"/>
        <v>66.599706925544112</v>
      </c>
      <c r="BC13" t="s">
        <v>227</v>
      </c>
      <c r="BD13" s="31">
        <v>30</v>
      </c>
      <c r="BE13" s="31">
        <v>30</v>
      </c>
      <c r="BF13" s="31">
        <v>30</v>
      </c>
      <c r="BG13" s="32">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
      <c r="A14" s="35" t="s">
        <v>6</v>
      </c>
      <c r="B14" s="5">
        <f>Iout</f>
        <v>20</v>
      </c>
      <c r="C14" s="473" t="s">
        <v>2</v>
      </c>
      <c r="D14" s="34" t="s">
        <v>174</v>
      </c>
      <c r="G14">
        <v>5</v>
      </c>
      <c r="H14">
        <f t="shared" si="0"/>
        <v>0.5</v>
      </c>
      <c r="I14" s="463">
        <f t="shared" si="1"/>
        <v>0.49180833333333335</v>
      </c>
      <c r="J14" s="464">
        <f t="shared" si="2"/>
        <v>8.0000822222222219</v>
      </c>
      <c r="K14" s="464">
        <f t="shared" si="31"/>
        <v>4.5000411111111109</v>
      </c>
      <c r="L14" s="464">
        <f t="shared" si="32"/>
        <v>-3.5000411111111109</v>
      </c>
      <c r="M14" s="77">
        <f t="shared" si="3"/>
        <v>24</v>
      </c>
      <c r="N14" s="463">
        <f t="shared" si="4"/>
        <v>2.3629310111652302</v>
      </c>
      <c r="O14" s="463">
        <f t="shared" si="5"/>
        <v>2.7979704050312193E-2</v>
      </c>
      <c r="P14">
        <f t="shared" si="6"/>
        <v>0.5</v>
      </c>
      <c r="Q14" s="463">
        <f t="shared" si="34"/>
        <v>0.52797970405031225</v>
      </c>
      <c r="R14" s="9">
        <f t="shared" si="39"/>
        <v>2.3094248122695697</v>
      </c>
      <c r="S14" s="9">
        <f t="shared" si="7"/>
        <v>1.6000328890579014E-2</v>
      </c>
      <c r="T14" s="9">
        <f t="shared" si="40"/>
        <v>1.6000328890579014E-2</v>
      </c>
      <c r="U14" s="463">
        <f t="shared" si="8"/>
        <v>1.6571010162792175</v>
      </c>
      <c r="V14" s="465">
        <f t="shared" si="9"/>
        <v>2.7459837781536153E-2</v>
      </c>
      <c r="W14" s="463">
        <f t="shared" si="41"/>
        <v>2.7459837781536153E-2</v>
      </c>
      <c r="X14" s="463">
        <f t="shared" si="10"/>
        <v>1.6571010162792175</v>
      </c>
      <c r="Y14" s="463">
        <f t="shared" si="11"/>
        <v>4.9427708006765068E-3</v>
      </c>
      <c r="Z14" s="463">
        <f t="shared" si="12"/>
        <v>0.20702202430592509</v>
      </c>
      <c r="AA14" s="463">
        <f t="shared" si="13"/>
        <v>0</v>
      </c>
      <c r="AB14" s="463">
        <f t="shared" si="14"/>
        <v>4.2000493333333333E-2</v>
      </c>
      <c r="AC14" s="463">
        <f t="shared" si="15"/>
        <v>0.25421659531280683</v>
      </c>
      <c r="AD14" s="463">
        <f t="shared" si="16"/>
        <v>1.6844759379025638</v>
      </c>
      <c r="AE14" s="463">
        <f t="shared" si="17"/>
        <v>5.1074265336708991E-3</v>
      </c>
      <c r="AF14" s="463">
        <f t="shared" si="18"/>
        <v>5.400049333333333E-2</v>
      </c>
      <c r="AG14" s="463">
        <f t="shared" si="19"/>
        <v>5.9168359476833382E-2</v>
      </c>
      <c r="AH14" s="463">
        <f t="shared" si="20"/>
        <v>0</v>
      </c>
      <c r="AI14">
        <f t="shared" si="21"/>
        <v>0</v>
      </c>
      <c r="AJ14" s="464">
        <f t="shared" si="22"/>
        <v>0.43198379999999992</v>
      </c>
      <c r="AK14">
        <f t="shared" si="23"/>
        <v>7.2000000000000008E-2</v>
      </c>
      <c r="AL14" s="464">
        <f t="shared" si="24"/>
        <v>0.98399999999999999</v>
      </c>
      <c r="AM14" s="464">
        <f t="shared" si="25"/>
        <v>0.82265384615384629</v>
      </c>
      <c r="AN14" s="464">
        <f t="shared" si="42"/>
        <v>1.056</v>
      </c>
      <c r="AO14" s="464">
        <f t="shared" si="26"/>
        <v>2.3728086255120675</v>
      </c>
      <c r="AP14" s="100">
        <f t="shared" si="27"/>
        <v>5.9</v>
      </c>
      <c r="AQ14" s="10">
        <f t="shared" si="43"/>
        <v>0.71317979988142222</v>
      </c>
      <c r="AR14" s="77">
        <f t="shared" si="28"/>
        <v>12.710829765640341</v>
      </c>
      <c r="AS14" s="77">
        <f t="shared" si="44"/>
        <v>2.9584179738416689</v>
      </c>
      <c r="AT14" s="10"/>
      <c r="AU14">
        <f t="shared" si="45"/>
        <v>71.317979988142227</v>
      </c>
      <c r="BC14" t="s">
        <v>230</v>
      </c>
      <c r="BD14" s="31">
        <v>45</v>
      </c>
      <c r="BE14" s="31">
        <v>45</v>
      </c>
      <c r="BF14" s="31">
        <v>45</v>
      </c>
      <c r="BG14" s="32">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
      <c r="A15" s="36" t="s">
        <v>156</v>
      </c>
      <c r="B15" s="5">
        <f>Ta</f>
        <v>25</v>
      </c>
      <c r="C15" s="473" t="s">
        <v>720</v>
      </c>
      <c r="D15" s="34" t="s">
        <v>175</v>
      </c>
      <c r="G15">
        <v>6</v>
      </c>
      <c r="H15">
        <f t="shared" si="0"/>
        <v>0.6</v>
      </c>
      <c r="I15" s="463">
        <f t="shared" si="1"/>
        <v>0.4918366666666667</v>
      </c>
      <c r="J15" s="464">
        <f t="shared" si="2"/>
        <v>8.0005431111111118</v>
      </c>
      <c r="K15" s="464">
        <f t="shared" si="31"/>
        <v>4.6002715555555556</v>
      </c>
      <c r="L15" s="464">
        <f t="shared" si="32"/>
        <v>-3.4002715555555558</v>
      </c>
      <c r="M15" s="77">
        <f t="shared" si="3"/>
        <v>24</v>
      </c>
      <c r="N15" s="463">
        <f t="shared" si="4"/>
        <v>2.3862224343221423</v>
      </c>
      <c r="O15" s="463">
        <f t="shared" si="5"/>
        <v>2.8535280140740645E-2</v>
      </c>
      <c r="P15">
        <f t="shared" si="6"/>
        <v>0.5</v>
      </c>
      <c r="Q15" s="463">
        <f t="shared" si="34"/>
        <v>0.52853528014074069</v>
      </c>
      <c r="R15" s="9">
        <f t="shared" si="39"/>
        <v>2.3095578594316035</v>
      </c>
      <c r="S15" s="9">
        <f t="shared" si="7"/>
        <v>1.600217251818687E-2</v>
      </c>
      <c r="T15" s="9">
        <f t="shared" si="40"/>
        <v>1.600217251818687E-2</v>
      </c>
      <c r="U15" s="463">
        <f t="shared" si="8"/>
        <v>1.6734832725754958</v>
      </c>
      <c r="V15" s="465">
        <f t="shared" si="9"/>
        <v>2.8005462635899911E-2</v>
      </c>
      <c r="W15" s="463">
        <f t="shared" si="41"/>
        <v>2.8005462635899911E-2</v>
      </c>
      <c r="X15" s="463">
        <f t="shared" si="10"/>
        <v>1.6734832725754958</v>
      </c>
      <c r="Y15" s="463">
        <f t="shared" si="11"/>
        <v>5.0409832744619833E-3</v>
      </c>
      <c r="Z15" s="463">
        <f t="shared" si="12"/>
        <v>0.21163307318162039</v>
      </c>
      <c r="AA15" s="463">
        <f t="shared" si="13"/>
        <v>0</v>
      </c>
      <c r="AB15" s="463">
        <f t="shared" si="14"/>
        <v>4.0803258666666675E-2</v>
      </c>
      <c r="AC15" s="463">
        <f t="shared" si="15"/>
        <v>0.25773716487021264</v>
      </c>
      <c r="AD15" s="463">
        <f t="shared" si="16"/>
        <v>1.7010324048860153</v>
      </c>
      <c r="AE15" s="463">
        <f t="shared" si="17"/>
        <v>5.2083202364501414E-3</v>
      </c>
      <c r="AF15" s="463">
        <f t="shared" si="18"/>
        <v>5.5203258666666664E-2</v>
      </c>
      <c r="AG15" s="463">
        <f t="shared" si="19"/>
        <v>6.0474573091681617E-2</v>
      </c>
      <c r="AH15" s="463">
        <f t="shared" si="20"/>
        <v>0</v>
      </c>
      <c r="AI15">
        <f t="shared" si="21"/>
        <v>0</v>
      </c>
      <c r="AJ15" s="464">
        <f t="shared" si="22"/>
        <v>0.43198055999999996</v>
      </c>
      <c r="AK15">
        <f t="shared" si="23"/>
        <v>7.2000000000000008E-2</v>
      </c>
      <c r="AL15" s="464">
        <f t="shared" si="24"/>
        <v>0.98399999999999999</v>
      </c>
      <c r="AM15" s="464">
        <f t="shared" si="25"/>
        <v>0.82265384615384629</v>
      </c>
      <c r="AN15" s="464">
        <f t="shared" si="42"/>
        <v>1.056</v>
      </c>
      <c r="AO15" s="464">
        <f t="shared" si="26"/>
        <v>2.3787352132567214</v>
      </c>
      <c r="AP15" s="100">
        <f t="shared" si="27"/>
        <v>7.08</v>
      </c>
      <c r="AQ15" s="10">
        <f t="shared" si="43"/>
        <v>0.74851445149634299</v>
      </c>
      <c r="AR15" s="77">
        <f t="shared" si="28"/>
        <v>12.886858243510632</v>
      </c>
      <c r="AS15" s="77">
        <f t="shared" si="44"/>
        <v>3.0237286545840809</v>
      </c>
      <c r="AT15" s="10"/>
      <c r="AU15">
        <f t="shared" si="45"/>
        <v>74.851445149634301</v>
      </c>
      <c r="BC15" t="s">
        <v>228</v>
      </c>
      <c r="BD15" s="31">
        <v>20</v>
      </c>
      <c r="BE15" s="31">
        <v>20</v>
      </c>
      <c r="BF15" s="31">
        <v>20</v>
      </c>
      <c r="BG15" s="32">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
      <c r="A16" s="462" t="s">
        <v>619</v>
      </c>
      <c r="B16" s="5">
        <v>7.5</v>
      </c>
      <c r="C16" s="473" t="s">
        <v>0</v>
      </c>
      <c r="D16" s="474" t="s">
        <v>624</v>
      </c>
      <c r="G16">
        <v>7</v>
      </c>
      <c r="H16">
        <f t="shared" si="0"/>
        <v>0.70000000000000007</v>
      </c>
      <c r="I16" s="463">
        <f t="shared" si="1"/>
        <v>0.49186500000000005</v>
      </c>
      <c r="J16" s="464">
        <f t="shared" si="2"/>
        <v>8.001004</v>
      </c>
      <c r="K16" s="464">
        <f t="shared" si="31"/>
        <v>4.7005020000000002</v>
      </c>
      <c r="L16" s="464">
        <f t="shared" si="32"/>
        <v>-3.3005019999999998</v>
      </c>
      <c r="M16" s="77">
        <f t="shared" si="3"/>
        <v>24</v>
      </c>
      <c r="N16" s="463">
        <f t="shared" si="4"/>
        <v>2.4134357426708783</v>
      </c>
      <c r="O16" s="463">
        <f t="shared" si="5"/>
        <v>2.9191372488978767E-2</v>
      </c>
      <c r="P16">
        <f t="shared" si="6"/>
        <v>0.5</v>
      </c>
      <c r="Q16" s="463">
        <f t="shared" si="34"/>
        <v>0.52919137248897874</v>
      </c>
      <c r="R16" s="9">
        <f t="shared" si="39"/>
        <v>2.3096909065936364</v>
      </c>
      <c r="S16" s="9">
        <f t="shared" si="7"/>
        <v>1.6004016252004004E-2</v>
      </c>
      <c r="T16" s="9">
        <f t="shared" si="40"/>
        <v>1.6004016252004004E-2</v>
      </c>
      <c r="U16" s="463">
        <f t="shared" si="8"/>
        <v>1.6926170076533311</v>
      </c>
      <c r="V16" s="465">
        <f t="shared" si="9"/>
        <v>2.8649523345973166E-2</v>
      </c>
      <c r="W16" s="463">
        <f t="shared" si="41"/>
        <v>2.8649523345973166E-2</v>
      </c>
      <c r="X16" s="463">
        <f t="shared" si="10"/>
        <v>1.6926170076533311</v>
      </c>
      <c r="Y16" s="463">
        <f t="shared" si="11"/>
        <v>5.15691420227517E-3</v>
      </c>
      <c r="Z16" s="463">
        <f t="shared" si="12"/>
        <v>0.21624412205731566</v>
      </c>
      <c r="AA16" s="463">
        <f t="shared" si="13"/>
        <v>0</v>
      </c>
      <c r="AB16" s="463">
        <f t="shared" si="14"/>
        <v>3.9606023999999997E-2</v>
      </c>
      <c r="AC16" s="463">
        <f t="shared" si="15"/>
        <v>0.26127653639584297</v>
      </c>
      <c r="AD16" s="463">
        <f t="shared" si="16"/>
        <v>1.7203836053055197</v>
      </c>
      <c r="AE16" s="463">
        <f t="shared" si="17"/>
        <v>5.3274955489272325E-3</v>
      </c>
      <c r="AF16" s="463">
        <f t="shared" si="18"/>
        <v>5.6406024000000006E-2</v>
      </c>
      <c r="AG16" s="463">
        <f t="shared" si="19"/>
        <v>6.1799366719151802E-2</v>
      </c>
      <c r="AH16" s="463">
        <f t="shared" si="20"/>
        <v>0</v>
      </c>
      <c r="AI16">
        <f t="shared" si="21"/>
        <v>0</v>
      </c>
      <c r="AJ16" s="464">
        <f t="shared" si="22"/>
        <v>0.43197732</v>
      </c>
      <c r="AK16">
        <f t="shared" si="23"/>
        <v>7.2000000000000008E-2</v>
      </c>
      <c r="AL16" s="464">
        <f t="shared" si="24"/>
        <v>0.98399999999999999</v>
      </c>
      <c r="AM16" s="464">
        <f t="shared" si="25"/>
        <v>0.82265384615384629</v>
      </c>
      <c r="AN16" s="464">
        <f t="shared" si="42"/>
        <v>1.056</v>
      </c>
      <c r="AO16" s="464">
        <f t="shared" si="26"/>
        <v>2.3848981352019507</v>
      </c>
      <c r="AP16" s="100">
        <f t="shared" si="27"/>
        <v>8.2600000000000016</v>
      </c>
      <c r="AQ16" s="10">
        <f t="shared" si="43"/>
        <v>0.77595857612622376</v>
      </c>
      <c r="AR16" s="77">
        <f t="shared" si="28"/>
        <v>13.063826819792149</v>
      </c>
      <c r="AS16" s="77">
        <f t="shared" si="44"/>
        <v>3.08996833595759</v>
      </c>
      <c r="AT16" s="10"/>
      <c r="AU16">
        <f t="shared" si="45"/>
        <v>77.595857612622382</v>
      </c>
      <c r="BC16" t="s">
        <v>229</v>
      </c>
      <c r="BD16" s="31">
        <v>25</v>
      </c>
      <c r="BE16" s="31">
        <v>25</v>
      </c>
      <c r="BF16" s="31">
        <v>25</v>
      </c>
      <c r="BG16" s="32">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
      <c r="A17" s="37" t="s">
        <v>128</v>
      </c>
      <c r="B17" s="29" t="s">
        <v>201</v>
      </c>
      <c r="C17" s="37" t="s">
        <v>148</v>
      </c>
      <c r="D17" s="30" t="s">
        <v>188</v>
      </c>
      <c r="G17">
        <v>8</v>
      </c>
      <c r="H17">
        <f t="shared" si="0"/>
        <v>0.8</v>
      </c>
      <c r="I17" s="463">
        <f t="shared" si="1"/>
        <v>0.49189333333333335</v>
      </c>
      <c r="J17" s="464">
        <f t="shared" si="2"/>
        <v>8.0014648888888882</v>
      </c>
      <c r="K17" s="464">
        <f t="shared" si="31"/>
        <v>4.8007324444444439</v>
      </c>
      <c r="L17" s="464">
        <f t="shared" si="32"/>
        <v>-3.2007324444444443</v>
      </c>
      <c r="M17" s="77">
        <f t="shared" si="3"/>
        <v>24</v>
      </c>
      <c r="N17" s="463">
        <f t="shared" si="4"/>
        <v>2.4444399557656293</v>
      </c>
      <c r="O17" s="463">
        <f t="shared" si="5"/>
        <v>2.9948012671408293E-2</v>
      </c>
      <c r="P17">
        <f t="shared" si="6"/>
        <v>0.5</v>
      </c>
      <c r="Q17" s="463">
        <f t="shared" si="34"/>
        <v>0.52994801267140834</v>
      </c>
      <c r="R17" s="9">
        <f t="shared" si="39"/>
        <v>2.3098239537556693</v>
      </c>
      <c r="S17" s="9">
        <f t="shared" si="7"/>
        <v>1.6005860092030415E-2</v>
      </c>
      <c r="T17" s="9">
        <f t="shared" si="40"/>
        <v>1.6005860092030415E-2</v>
      </c>
      <c r="U17" s="463">
        <f t="shared" si="8"/>
        <v>1.7144105958546234</v>
      </c>
      <c r="V17" s="465">
        <f t="shared" si="9"/>
        <v>2.9392036911786049E-2</v>
      </c>
      <c r="W17" s="463">
        <f t="shared" si="41"/>
        <v>2.9392036911786049E-2</v>
      </c>
      <c r="X17" s="463">
        <f t="shared" si="10"/>
        <v>1.7144105958546234</v>
      </c>
      <c r="Y17" s="463">
        <f t="shared" si="11"/>
        <v>5.2905666441214888E-3</v>
      </c>
      <c r="Z17" s="463">
        <f t="shared" si="12"/>
        <v>0.22085517093301091</v>
      </c>
      <c r="AA17" s="463">
        <f t="shared" si="13"/>
        <v>0</v>
      </c>
      <c r="AB17" s="463">
        <f t="shared" si="14"/>
        <v>3.8408789333333332E-2</v>
      </c>
      <c r="AC17" s="463">
        <f t="shared" si="15"/>
        <v>0.26483475209158969</v>
      </c>
      <c r="AD17" s="463">
        <f t="shared" si="16"/>
        <v>1.742435940333207</v>
      </c>
      <c r="AE17" s="463">
        <f t="shared" si="17"/>
        <v>5.464949411096761E-3</v>
      </c>
      <c r="AF17" s="463">
        <f t="shared" si="18"/>
        <v>5.7608789333333327E-2</v>
      </c>
      <c r="AG17" s="463">
        <f t="shared" si="19"/>
        <v>6.3142753134741839E-2</v>
      </c>
      <c r="AH17" s="463">
        <f t="shared" si="20"/>
        <v>0</v>
      </c>
      <c r="AI17">
        <f t="shared" si="21"/>
        <v>0</v>
      </c>
      <c r="AJ17" s="464">
        <f t="shared" si="22"/>
        <v>0.43197407999999998</v>
      </c>
      <c r="AK17">
        <f t="shared" si="23"/>
        <v>7.2000000000000008E-2</v>
      </c>
      <c r="AL17" s="464">
        <f t="shared" si="24"/>
        <v>0.98399999999999999</v>
      </c>
      <c r="AM17" s="464">
        <f t="shared" si="25"/>
        <v>0.82265384615384629</v>
      </c>
      <c r="AN17" s="464">
        <f t="shared" si="42"/>
        <v>1.056</v>
      </c>
      <c r="AO17" s="464">
        <f t="shared" si="26"/>
        <v>2.3912974949015564</v>
      </c>
      <c r="AP17" s="100">
        <f t="shared" si="27"/>
        <v>9.4400000000000013</v>
      </c>
      <c r="AQ17" s="10">
        <f t="shared" si="43"/>
        <v>0.79788374893522596</v>
      </c>
      <c r="AR17" s="77">
        <f t="shared" si="28"/>
        <v>13.241737604579484</v>
      </c>
      <c r="AS17" s="77">
        <f t="shared" si="44"/>
        <v>3.1571376567370919</v>
      </c>
      <c r="AT17" s="10"/>
      <c r="AU17">
        <f t="shared" si="45"/>
        <v>79.788374893522601</v>
      </c>
      <c r="BC17" t="s">
        <v>232</v>
      </c>
      <c r="BD17" s="31">
        <v>50</v>
      </c>
      <c r="BE17" s="31">
        <v>50</v>
      </c>
      <c r="BF17" s="31">
        <v>50</v>
      </c>
      <c r="BG17" s="32">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
      <c r="A18" s="54" t="s">
        <v>126</v>
      </c>
      <c r="B18" s="57">
        <f>Lout2*1000000</f>
        <v>1.5</v>
      </c>
      <c r="C18" s="476" t="s">
        <v>11</v>
      </c>
      <c r="D18" s="34" t="s">
        <v>190</v>
      </c>
      <c r="G18">
        <v>9</v>
      </c>
      <c r="H18">
        <f t="shared" si="0"/>
        <v>0.89999999999999991</v>
      </c>
      <c r="I18" s="463">
        <f t="shared" si="1"/>
        <v>0.49192166666666676</v>
      </c>
      <c r="J18" s="464">
        <f t="shared" si="2"/>
        <v>8.0019257777777799</v>
      </c>
      <c r="K18" s="464">
        <f t="shared" si="31"/>
        <v>4.9009628888888894</v>
      </c>
      <c r="L18" s="464">
        <f t="shared" si="32"/>
        <v>-3.10096288888889</v>
      </c>
      <c r="M18" s="77">
        <f t="shared" si="3"/>
        <v>24</v>
      </c>
      <c r="N18" s="463">
        <f t="shared" si="4"/>
        <v>2.4790928474118736</v>
      </c>
      <c r="O18" s="463">
        <f t="shared" si="5"/>
        <v>3.0805237109731272E-2</v>
      </c>
      <c r="P18">
        <f t="shared" si="6"/>
        <v>0.5</v>
      </c>
      <c r="Q18" s="463">
        <f t="shared" si="34"/>
        <v>0.53080523710973126</v>
      </c>
      <c r="R18" s="9">
        <f t="shared" si="39"/>
        <v>2.3099570009177035</v>
      </c>
      <c r="S18" s="9">
        <f t="shared" si="7"/>
        <v>1.6007704038266134E-2</v>
      </c>
      <c r="T18" s="9">
        <f t="shared" si="40"/>
        <v>1.6007704038266134E-2</v>
      </c>
      <c r="U18" s="463">
        <f t="shared" si="8"/>
        <v>1.7387645134798646</v>
      </c>
      <c r="V18" s="465">
        <f t="shared" si="9"/>
        <v>3.0233020333368704E-2</v>
      </c>
      <c r="W18" s="463">
        <f t="shared" si="41"/>
        <v>3.0233020333368704E-2</v>
      </c>
      <c r="X18" s="463">
        <f t="shared" si="10"/>
        <v>1.7387645134798646</v>
      </c>
      <c r="Y18" s="463">
        <f t="shared" si="11"/>
        <v>5.4419436600063667E-3</v>
      </c>
      <c r="Z18" s="463">
        <f t="shared" si="12"/>
        <v>0.22546621980870624</v>
      </c>
      <c r="AA18" s="463">
        <f t="shared" si="13"/>
        <v>0</v>
      </c>
      <c r="AB18" s="463">
        <f t="shared" si="14"/>
        <v>3.7211554666666674E-2</v>
      </c>
      <c r="AC18" s="463">
        <f t="shared" si="15"/>
        <v>0.26841185457343253</v>
      </c>
      <c r="AD18" s="463">
        <f t="shared" si="16"/>
        <v>1.7670878056146053</v>
      </c>
      <c r="AE18" s="463">
        <f t="shared" si="17"/>
        <v>5.6206787629533139E-3</v>
      </c>
      <c r="AF18" s="463">
        <f t="shared" si="18"/>
        <v>5.8811554666666675E-2</v>
      </c>
      <c r="AG18" s="463">
        <f t="shared" si="19"/>
        <v>6.4504745520271078E-2</v>
      </c>
      <c r="AH18" s="463">
        <f t="shared" si="20"/>
        <v>0</v>
      </c>
      <c r="AI18">
        <f t="shared" si="21"/>
        <v>0</v>
      </c>
      <c r="AJ18" s="464">
        <f t="shared" si="22"/>
        <v>0.43197083999999997</v>
      </c>
      <c r="AK18">
        <f t="shared" si="23"/>
        <v>7.2000000000000008E-2</v>
      </c>
      <c r="AL18" s="464">
        <f t="shared" si="24"/>
        <v>0.98399999999999999</v>
      </c>
      <c r="AM18" s="464">
        <f t="shared" si="25"/>
        <v>0.82265384615384629</v>
      </c>
      <c r="AN18" s="464">
        <f t="shared" si="42"/>
        <v>1.056</v>
      </c>
      <c r="AO18" s="464">
        <f t="shared" si="26"/>
        <v>2.3979334015750697</v>
      </c>
      <c r="AP18" s="100">
        <f t="shared" si="27"/>
        <v>10.62</v>
      </c>
      <c r="AQ18" s="10">
        <f t="shared" si="43"/>
        <v>0.8157976901859908</v>
      </c>
      <c r="AR18" s="77">
        <f t="shared" si="28"/>
        <v>13.420592728671627</v>
      </c>
      <c r="AS18" s="77">
        <f t="shared" si="44"/>
        <v>3.2252372760135541</v>
      </c>
      <c r="AT18" s="10"/>
      <c r="AU18">
        <f t="shared" si="45"/>
        <v>81.57976901859908</v>
      </c>
      <c r="BC18" t="s">
        <v>233</v>
      </c>
      <c r="BE18" s="31"/>
      <c r="BF18" s="32"/>
    </row>
    <row r="19" spans="1:69" x14ac:dyDescent="0.2">
      <c r="A19" s="54" t="s">
        <v>12</v>
      </c>
      <c r="B19" s="58">
        <f>Rdcr*1000</f>
        <v>5</v>
      </c>
      <c r="C19" s="473" t="s">
        <v>622</v>
      </c>
      <c r="D19" s="34" t="s">
        <v>191</v>
      </c>
      <c r="G19">
        <v>10</v>
      </c>
      <c r="H19">
        <f t="shared" si="0"/>
        <v>1</v>
      </c>
      <c r="I19" s="463">
        <f t="shared" si="1"/>
        <v>0.49195000000000005</v>
      </c>
      <c r="J19" s="464">
        <f t="shared" si="2"/>
        <v>8.0023866666666681</v>
      </c>
      <c r="K19" s="464">
        <f t="shared" si="31"/>
        <v>5.001193333333334</v>
      </c>
      <c r="L19" s="464">
        <f t="shared" si="32"/>
        <v>-3.001193333333334</v>
      </c>
      <c r="M19" s="77">
        <f t="shared" si="3"/>
        <v>24</v>
      </c>
      <c r="N19" s="463">
        <f t="shared" si="4"/>
        <v>2.5172437367559461</v>
      </c>
      <c r="O19" s="463">
        <f t="shared" si="5"/>
        <v>3.1763087075354315E-2</v>
      </c>
      <c r="P19">
        <f t="shared" si="6"/>
        <v>0.5</v>
      </c>
      <c r="Q19" s="463">
        <f t="shared" si="34"/>
        <v>0.53176308707535436</v>
      </c>
      <c r="R19" s="9">
        <f t="shared" si="39"/>
        <v>2.3100900480797364</v>
      </c>
      <c r="S19" s="9">
        <f t="shared" si="7"/>
        <v>1.6009548090711118E-2</v>
      </c>
      <c r="T19" s="9">
        <f t="shared" si="40"/>
        <v>1.6009548090711118E-2</v>
      </c>
      <c r="U19" s="463">
        <f t="shared" si="8"/>
        <v>1.7655732952996064</v>
      </c>
      <c r="V19" s="465">
        <f t="shared" si="9"/>
        <v>3.117249061075111E-2</v>
      </c>
      <c r="W19" s="463">
        <f t="shared" si="41"/>
        <v>3.117249061075111E-2</v>
      </c>
      <c r="X19" s="463">
        <f t="shared" si="10"/>
        <v>1.7655732952996064</v>
      </c>
      <c r="Y19" s="463">
        <f t="shared" si="11"/>
        <v>5.6110483099351995E-3</v>
      </c>
      <c r="Z19" s="463">
        <f t="shared" si="12"/>
        <v>0.23007726868440156</v>
      </c>
      <c r="AA19" s="463">
        <f t="shared" si="13"/>
        <v>0</v>
      </c>
      <c r="AB19" s="463">
        <f t="shared" si="14"/>
        <v>3.6014320000000002E-2</v>
      </c>
      <c r="AC19" s="463">
        <f t="shared" si="15"/>
        <v>0.2720078868731225</v>
      </c>
      <c r="AD19" s="463">
        <f t="shared" si="16"/>
        <v>1.7942315818093066</v>
      </c>
      <c r="AE19" s="463">
        <f t="shared" si="17"/>
        <v>5.7946805444914675E-3</v>
      </c>
      <c r="AF19" s="463">
        <f t="shared" si="18"/>
        <v>6.001432000000001E-2</v>
      </c>
      <c r="AG19" s="463">
        <f t="shared" si="19"/>
        <v>6.5885357464304531E-2</v>
      </c>
      <c r="AH19" s="463">
        <f t="shared" si="20"/>
        <v>0</v>
      </c>
      <c r="AI19">
        <f t="shared" si="21"/>
        <v>0</v>
      </c>
      <c r="AJ19" s="464">
        <f t="shared" si="22"/>
        <v>0.43196759999999995</v>
      </c>
      <c r="AK19">
        <f t="shared" si="23"/>
        <v>7.2000000000000008E-2</v>
      </c>
      <c r="AL19" s="464">
        <f t="shared" si="24"/>
        <v>0.98399999999999999</v>
      </c>
      <c r="AM19" s="464">
        <f t="shared" si="25"/>
        <v>0.82265384615384629</v>
      </c>
      <c r="AN19" s="464">
        <f t="shared" si="42"/>
        <v>1.056</v>
      </c>
      <c r="AO19" s="464">
        <f t="shared" si="26"/>
        <v>2.4048059701142437</v>
      </c>
      <c r="AP19" s="100">
        <f t="shared" si="27"/>
        <v>11.8</v>
      </c>
      <c r="AQ19" s="10">
        <f t="shared" si="43"/>
        <v>0.83070476462869269</v>
      </c>
      <c r="AR19" s="77">
        <f t="shared" si="28"/>
        <v>13.600394343656125</v>
      </c>
      <c r="AS19" s="77">
        <f t="shared" si="44"/>
        <v>3.2942678732152264</v>
      </c>
      <c r="AT19" s="10"/>
      <c r="AU19">
        <f t="shared" si="45"/>
        <v>83.070476462869266</v>
      </c>
      <c r="BC19" t="s">
        <v>234</v>
      </c>
      <c r="BE19" s="31"/>
      <c r="BF19" s="32"/>
    </row>
    <row r="20" spans="1:69" x14ac:dyDescent="0.2">
      <c r="A20" s="54" t="s">
        <v>155</v>
      </c>
      <c r="B20" s="58">
        <f>Ltc*1000000</f>
        <v>4000</v>
      </c>
      <c r="C20" s="476" t="s">
        <v>154</v>
      </c>
      <c r="D20" s="34" t="s">
        <v>176</v>
      </c>
      <c r="G20">
        <v>11</v>
      </c>
      <c r="H20">
        <f t="shared" si="0"/>
        <v>1.1000000000000001</v>
      </c>
      <c r="I20" s="463">
        <f t="shared" si="1"/>
        <v>0.49197833333333335</v>
      </c>
      <c r="J20" s="464">
        <f t="shared" si="2"/>
        <v>8.0028475555555563</v>
      </c>
      <c r="K20" s="464">
        <f t="shared" si="31"/>
        <v>5.1014237777777787</v>
      </c>
      <c r="L20" s="464">
        <f t="shared" si="32"/>
        <v>-2.901423777777778</v>
      </c>
      <c r="M20" s="77">
        <f t="shared" si="3"/>
        <v>24</v>
      </c>
      <c r="N20" s="463">
        <f t="shared" si="4"/>
        <v>2.5587361625983367</v>
      </c>
      <c r="O20" s="463">
        <f t="shared" si="5"/>
        <v>3.2821608694358455E-2</v>
      </c>
      <c r="P20">
        <f t="shared" si="6"/>
        <v>0.5</v>
      </c>
      <c r="Q20" s="463">
        <f t="shared" si="34"/>
        <v>0.53282160869435846</v>
      </c>
      <c r="R20" s="9">
        <f t="shared" si="39"/>
        <v>2.3102230952417697</v>
      </c>
      <c r="S20" s="9">
        <f t="shared" si="7"/>
        <v>1.6011392249365389E-2</v>
      </c>
      <c r="T20" s="9">
        <f t="shared" si="40"/>
        <v>1.6011392249365389E-2</v>
      </c>
      <c r="U20" s="463">
        <f t="shared" si="8"/>
        <v>1.7947274094960339</v>
      </c>
      <c r="V20" s="465">
        <f t="shared" si="9"/>
        <v>3.2210464743963448E-2</v>
      </c>
      <c r="W20" s="463">
        <f t="shared" si="41"/>
        <v>3.2210464743963448E-2</v>
      </c>
      <c r="X20" s="463">
        <f t="shared" si="10"/>
        <v>1.7947274094960339</v>
      </c>
      <c r="Y20" s="463">
        <f t="shared" si="11"/>
        <v>5.7978836539134201E-3</v>
      </c>
      <c r="Z20" s="463">
        <f t="shared" si="12"/>
        <v>0.23468831756009684</v>
      </c>
      <c r="AA20" s="463">
        <f t="shared" si="13"/>
        <v>0</v>
      </c>
      <c r="AB20" s="463">
        <f t="shared" si="14"/>
        <v>3.4817085333333331E-2</v>
      </c>
      <c r="AC20" s="463">
        <f t="shared" si="15"/>
        <v>0.27562289243988791</v>
      </c>
      <c r="AD20" s="463">
        <f t="shared" si="16"/>
        <v>1.8237555415658417</v>
      </c>
      <c r="AE20" s="463">
        <f t="shared" si="17"/>
        <v>5.9869516957058106E-3</v>
      </c>
      <c r="AF20" s="463">
        <f t="shared" si="18"/>
        <v>6.1217085333333345E-2</v>
      </c>
      <c r="AG20" s="463">
        <f t="shared" si="19"/>
        <v>6.7284602962599513E-2</v>
      </c>
      <c r="AH20" s="463">
        <f t="shared" si="20"/>
        <v>0</v>
      </c>
      <c r="AI20">
        <f t="shared" si="21"/>
        <v>0</v>
      </c>
      <c r="AJ20" s="464">
        <f t="shared" si="22"/>
        <v>0.43196435999999999</v>
      </c>
      <c r="AK20">
        <f t="shared" si="23"/>
        <v>7.2000000000000008E-2</v>
      </c>
      <c r="AL20" s="464">
        <f t="shared" si="24"/>
        <v>0.98399999999999999</v>
      </c>
      <c r="AM20" s="464">
        <f t="shared" si="25"/>
        <v>0.82265384615384629</v>
      </c>
      <c r="AN20" s="464">
        <f t="shared" si="42"/>
        <v>1.056</v>
      </c>
      <c r="AO20" s="464">
        <f t="shared" si="26"/>
        <v>2.4119153210901749</v>
      </c>
      <c r="AP20" s="100">
        <f t="shared" si="27"/>
        <v>12.980000000000002</v>
      </c>
      <c r="AQ20" s="10">
        <f t="shared" si="43"/>
        <v>0.84329985769962357</v>
      </c>
      <c r="AR20" s="77">
        <f t="shared" si="28"/>
        <v>13.781144621994395</v>
      </c>
      <c r="AS20" s="77">
        <f t="shared" si="44"/>
        <v>3.3642301481299755</v>
      </c>
      <c r="AT20" s="10"/>
      <c r="AU20">
        <f t="shared" si="45"/>
        <v>84.329985769962363</v>
      </c>
      <c r="BE20" s="31"/>
      <c r="BF20" s="32"/>
    </row>
    <row r="21" spans="1:69" x14ac:dyDescent="0.2">
      <c r="A21" s="38" t="s">
        <v>250</v>
      </c>
      <c r="B21" s="58">
        <f>ThetaCa</f>
        <v>20</v>
      </c>
      <c r="C21" s="477" t="s">
        <v>721</v>
      </c>
      <c r="D21" s="40" t="s">
        <v>251</v>
      </c>
      <c r="G21">
        <v>12</v>
      </c>
      <c r="H21">
        <f t="shared" si="0"/>
        <v>1.2</v>
      </c>
      <c r="I21" s="463">
        <f t="shared" si="1"/>
        <v>0.4920066666666667</v>
      </c>
      <c r="J21" s="464">
        <f t="shared" si="2"/>
        <v>8.0033084444444444</v>
      </c>
      <c r="K21" s="464">
        <f t="shared" si="31"/>
        <v>5.2016542222222224</v>
      </c>
      <c r="L21" s="464">
        <f t="shared" si="32"/>
        <v>-2.801654222222222</v>
      </c>
      <c r="M21" s="77">
        <f t="shared" si="3"/>
        <v>24</v>
      </c>
      <c r="N21" s="463">
        <f t="shared" si="4"/>
        <v>2.6034103604201508</v>
      </c>
      <c r="O21" s="463">
        <f t="shared" si="5"/>
        <v>3.3980852953054856E-2</v>
      </c>
      <c r="P21">
        <f t="shared" si="6"/>
        <v>0.5</v>
      </c>
      <c r="Q21" s="463">
        <f t="shared" si="34"/>
        <v>0.53398085295305486</v>
      </c>
      <c r="R21" s="9">
        <f t="shared" si="39"/>
        <v>2.3103561424038026</v>
      </c>
      <c r="S21" s="9">
        <f t="shared" si="7"/>
        <v>1.6013236514228941E-2</v>
      </c>
      <c r="T21" s="9">
        <f t="shared" si="40"/>
        <v>1.6013236514228941E-2</v>
      </c>
      <c r="U21" s="463">
        <f t="shared" si="8"/>
        <v>1.8261149945454087</v>
      </c>
      <c r="V21" s="465">
        <f t="shared" si="9"/>
        <v>3.334695973303578E-2</v>
      </c>
      <c r="W21" s="463">
        <f t="shared" si="41"/>
        <v>3.334695973303578E-2</v>
      </c>
      <c r="X21" s="463">
        <f t="shared" si="10"/>
        <v>1.8261149945454087</v>
      </c>
      <c r="Y21" s="463">
        <f t="shared" si="11"/>
        <v>6.0024527519464401E-3</v>
      </c>
      <c r="Z21" s="463">
        <f t="shared" si="12"/>
        <v>0.23929936643579211</v>
      </c>
      <c r="AA21" s="463">
        <f t="shared" si="13"/>
        <v>0</v>
      </c>
      <c r="AB21" s="463">
        <f t="shared" si="14"/>
        <v>3.3619850666666659E-2</v>
      </c>
      <c r="AC21" s="463">
        <f t="shared" si="15"/>
        <v>0.27925691514216422</v>
      </c>
      <c r="AD21" s="463">
        <f t="shared" si="16"/>
        <v>1.8555456155641665</v>
      </c>
      <c r="AE21" s="463">
        <f t="shared" si="17"/>
        <v>6.197489156590923E-3</v>
      </c>
      <c r="AF21" s="463">
        <f t="shared" si="18"/>
        <v>6.2419850666666672E-2</v>
      </c>
      <c r="AG21" s="463">
        <f t="shared" si="19"/>
        <v>6.8702496418574566E-2</v>
      </c>
      <c r="AH21" s="463">
        <f t="shared" si="20"/>
        <v>0</v>
      </c>
      <c r="AI21">
        <f t="shared" si="21"/>
        <v>0</v>
      </c>
      <c r="AJ21" s="464">
        <f t="shared" si="22"/>
        <v>0.43196111999999998</v>
      </c>
      <c r="AK21">
        <f t="shared" si="23"/>
        <v>7.2000000000000008E-2</v>
      </c>
      <c r="AL21" s="464">
        <f t="shared" si="24"/>
        <v>0.98399999999999999</v>
      </c>
      <c r="AM21" s="464">
        <f t="shared" si="25"/>
        <v>0.82265384615384629</v>
      </c>
      <c r="AN21" s="464">
        <f t="shared" si="42"/>
        <v>1.056</v>
      </c>
      <c r="AO21" s="464">
        <f t="shared" si="26"/>
        <v>2.4192615807610585</v>
      </c>
      <c r="AP21" s="100">
        <f t="shared" si="27"/>
        <v>14.16</v>
      </c>
      <c r="AQ21" s="10">
        <f t="shared" si="43"/>
        <v>0.85407905117026295</v>
      </c>
      <c r="AR21" s="77">
        <f t="shared" si="28"/>
        <v>13.962845757108211</v>
      </c>
      <c r="AS21" s="77">
        <f t="shared" si="44"/>
        <v>3.4351248209287282</v>
      </c>
      <c r="AT21" s="10"/>
      <c r="AU21">
        <f t="shared" si="45"/>
        <v>85.407905117026289</v>
      </c>
      <c r="BE21" s="31"/>
      <c r="BF21" s="32"/>
    </row>
    <row r="22" spans="1:69" x14ac:dyDescent="0.2">
      <c r="A22" s="55" t="s">
        <v>127</v>
      </c>
      <c r="B22" s="58">
        <f>Cin*1000000</f>
        <v>660</v>
      </c>
      <c r="C22" s="478" t="s">
        <v>30</v>
      </c>
      <c r="D22" s="34" t="s">
        <v>177</v>
      </c>
      <c r="G22">
        <v>13</v>
      </c>
      <c r="H22">
        <f t="shared" si="0"/>
        <v>1.3</v>
      </c>
      <c r="I22" s="463">
        <f t="shared" si="1"/>
        <v>0.49203500000000006</v>
      </c>
      <c r="J22" s="464">
        <f t="shared" si="2"/>
        <v>8.0037693333333326</v>
      </c>
      <c r="K22" s="464">
        <f t="shared" si="31"/>
        <v>5.3018846666666661</v>
      </c>
      <c r="L22" s="464">
        <f t="shared" si="32"/>
        <v>-2.7018846666666665</v>
      </c>
      <c r="M22" s="77">
        <f t="shared" si="3"/>
        <v>24</v>
      </c>
      <c r="N22" s="463">
        <f t="shared" si="4"/>
        <v>2.6511054854721627</v>
      </c>
      <c r="O22" s="463">
        <f t="shared" si="5"/>
        <v>3.5240875704128344E-2</v>
      </c>
      <c r="P22">
        <f t="shared" si="6"/>
        <v>0.5</v>
      </c>
      <c r="Q22" s="463">
        <f t="shared" si="34"/>
        <v>0.53524087570412837</v>
      </c>
      <c r="R22" s="9">
        <f t="shared" si="39"/>
        <v>2.3104891895658355</v>
      </c>
      <c r="S22" s="9">
        <f t="shared" si="7"/>
        <v>1.6015080885301774E-2</v>
      </c>
      <c r="T22" s="9">
        <f t="shared" si="40"/>
        <v>1.6015080885301774E-2</v>
      </c>
      <c r="U22" s="463">
        <f t="shared" si="8"/>
        <v>1.8596234182758131</v>
      </c>
      <c r="V22" s="465">
        <f t="shared" si="9"/>
        <v>3.4581992577998197E-2</v>
      </c>
      <c r="W22" s="463">
        <f t="shared" si="41"/>
        <v>3.4581992577998197E-2</v>
      </c>
      <c r="X22" s="463">
        <f t="shared" si="10"/>
        <v>1.8596234182758131</v>
      </c>
      <c r="Y22" s="463">
        <f t="shared" si="11"/>
        <v>6.2247586640396752E-3</v>
      </c>
      <c r="Z22" s="463">
        <f t="shared" si="12"/>
        <v>0.24391041531148736</v>
      </c>
      <c r="AA22" s="463">
        <f t="shared" si="13"/>
        <v>0</v>
      </c>
      <c r="AB22" s="463">
        <f t="shared" si="14"/>
        <v>3.2422616000000001E-2</v>
      </c>
      <c r="AC22" s="463">
        <f t="shared" si="15"/>
        <v>0.28290999926934607</v>
      </c>
      <c r="AD22" s="463">
        <f t="shared" si="16"/>
        <v>1.8894869772773697</v>
      </c>
      <c r="AE22" s="463">
        <f t="shared" si="17"/>
        <v>6.4262898671413882E-3</v>
      </c>
      <c r="AF22" s="463">
        <f t="shared" si="18"/>
        <v>6.3622615999999993E-2</v>
      </c>
      <c r="AG22" s="463">
        <f t="shared" si="19"/>
        <v>7.0139052643800534E-2</v>
      </c>
      <c r="AH22" s="463">
        <f t="shared" si="20"/>
        <v>0</v>
      </c>
      <c r="AI22">
        <f t="shared" si="21"/>
        <v>0</v>
      </c>
      <c r="AJ22" s="464">
        <f t="shared" si="22"/>
        <v>0.43195787999999996</v>
      </c>
      <c r="AK22">
        <f t="shared" si="23"/>
        <v>7.2000000000000008E-2</v>
      </c>
      <c r="AL22" s="464">
        <f t="shared" si="24"/>
        <v>0.98399999999999999</v>
      </c>
      <c r="AM22" s="464">
        <f t="shared" si="25"/>
        <v>0.82265384615384629</v>
      </c>
      <c r="AN22" s="464">
        <f t="shared" si="42"/>
        <v>1.056</v>
      </c>
      <c r="AO22" s="464">
        <f t="shared" si="26"/>
        <v>2.4268448810805747</v>
      </c>
      <c r="AP22" s="100">
        <f t="shared" si="27"/>
        <v>15.340000000000002</v>
      </c>
      <c r="AQ22" s="10">
        <f t="shared" si="43"/>
        <v>0.86340597346775649</v>
      </c>
      <c r="AR22" s="77">
        <f t="shared" si="28"/>
        <v>14.145499963467303</v>
      </c>
      <c r="AS22" s="77">
        <f t="shared" si="44"/>
        <v>3.5069526321900266</v>
      </c>
      <c r="AT22" s="10"/>
      <c r="AU22">
        <f t="shared" si="45"/>
        <v>86.340597346775652</v>
      </c>
      <c r="BE22" s="31"/>
      <c r="BF22" s="32"/>
    </row>
    <row r="23" spans="1:69" x14ac:dyDescent="0.2">
      <c r="A23" s="55" t="s">
        <v>159</v>
      </c>
      <c r="B23" s="58">
        <f>RCinEsr*1000</f>
        <v>10</v>
      </c>
      <c r="C23" s="473" t="s">
        <v>622</v>
      </c>
      <c r="D23" s="34" t="s">
        <v>178</v>
      </c>
      <c r="G23">
        <v>14</v>
      </c>
      <c r="H23">
        <f t="shared" si="0"/>
        <v>1.4000000000000001</v>
      </c>
      <c r="I23" s="463">
        <f t="shared" si="1"/>
        <v>0.49206333333333335</v>
      </c>
      <c r="J23" s="464">
        <f t="shared" si="2"/>
        <v>8.0042302222222226</v>
      </c>
      <c r="K23" s="464">
        <f t="shared" si="31"/>
        <v>5.4021151111111116</v>
      </c>
      <c r="L23" s="464">
        <f t="shared" si="32"/>
        <v>-2.6021151111111109</v>
      </c>
      <c r="M23" s="77">
        <f t="shared" si="3"/>
        <v>24</v>
      </c>
      <c r="N23" s="463">
        <f t="shared" si="4"/>
        <v>2.7016615481701813</v>
      </c>
      <c r="O23" s="463">
        <f t="shared" si="5"/>
        <v>3.6601737673369793E-2</v>
      </c>
      <c r="P23">
        <f t="shared" si="6"/>
        <v>0.5</v>
      </c>
      <c r="Q23" s="463">
        <f t="shared" si="34"/>
        <v>0.53660173767336983</v>
      </c>
      <c r="R23" s="9">
        <f t="shared" si="39"/>
        <v>2.3106222367278693</v>
      </c>
      <c r="S23" s="9">
        <f t="shared" si="7"/>
        <v>1.6016925362583905E-2</v>
      </c>
      <c r="T23" s="9">
        <f t="shared" si="40"/>
        <v>1.6016925362583905E-2</v>
      </c>
      <c r="U23" s="463">
        <f t="shared" si="8"/>
        <v>1.8951406353851634</v>
      </c>
      <c r="V23" s="465">
        <f t="shared" si="9"/>
        <v>3.591558027888081E-2</v>
      </c>
      <c r="W23" s="463">
        <f t="shared" si="41"/>
        <v>3.591558027888081E-2</v>
      </c>
      <c r="X23" s="463">
        <f t="shared" si="10"/>
        <v>1.8951406353851634</v>
      </c>
      <c r="Y23" s="463">
        <f t="shared" si="11"/>
        <v>6.4648044501985453E-3</v>
      </c>
      <c r="Z23" s="463">
        <f t="shared" si="12"/>
        <v>0.24852146418718266</v>
      </c>
      <c r="AA23" s="463">
        <f t="shared" si="13"/>
        <v>0</v>
      </c>
      <c r="AB23" s="463">
        <f t="shared" si="14"/>
        <v>3.1225381333333333E-2</v>
      </c>
      <c r="AC23" s="463">
        <f t="shared" si="15"/>
        <v>0.28658218953356335</v>
      </c>
      <c r="AD23" s="463">
        <f t="shared" si="16"/>
        <v>1.9254654224299175</v>
      </c>
      <c r="AE23" s="463">
        <f t="shared" si="17"/>
        <v>6.6733507673517973E-3</v>
      </c>
      <c r="AF23" s="463">
        <f t="shared" si="18"/>
        <v>6.4825381333333335E-2</v>
      </c>
      <c r="AG23" s="463">
        <f t="shared" si="19"/>
        <v>7.1594286858514183E-2</v>
      </c>
      <c r="AH23" s="463">
        <f t="shared" si="20"/>
        <v>0</v>
      </c>
      <c r="AI23">
        <f t="shared" si="21"/>
        <v>0</v>
      </c>
      <c r="AJ23" s="464">
        <f t="shared" si="22"/>
        <v>0.43195463999999995</v>
      </c>
      <c r="AK23">
        <f t="shared" si="23"/>
        <v>7.2000000000000008E-2</v>
      </c>
      <c r="AL23" s="464">
        <f t="shared" si="24"/>
        <v>0.98399999999999999</v>
      </c>
      <c r="AM23" s="464">
        <f t="shared" si="25"/>
        <v>0.82265384615384629</v>
      </c>
      <c r="AN23" s="464">
        <f t="shared" si="42"/>
        <v>1.056</v>
      </c>
      <c r="AO23" s="464">
        <f t="shared" si="26"/>
        <v>2.4346653597069121</v>
      </c>
      <c r="AP23" s="100">
        <f t="shared" si="27"/>
        <v>16.520000000000003</v>
      </c>
      <c r="AQ23" s="10">
        <f t="shared" si="43"/>
        <v>0.87155323961126596</v>
      </c>
      <c r="AR23" s="77">
        <f t="shared" si="28"/>
        <v>14.329109476678168</v>
      </c>
      <c r="AS23" s="77">
        <f t="shared" si="44"/>
        <v>3.5797143429257092</v>
      </c>
      <c r="AT23" s="10"/>
      <c r="AU23">
        <f t="shared" si="45"/>
        <v>87.155323961126598</v>
      </c>
      <c r="BE23" s="31"/>
      <c r="BF23" s="32"/>
    </row>
    <row r="24" spans="1:69" x14ac:dyDescent="0.2">
      <c r="A24" s="54" t="s">
        <v>36</v>
      </c>
      <c r="B24" s="58">
        <f>Cout*1000000</f>
        <v>3300</v>
      </c>
      <c r="C24" s="476" t="s">
        <v>30</v>
      </c>
      <c r="D24" s="34" t="s">
        <v>199</v>
      </c>
      <c r="G24">
        <v>15</v>
      </c>
      <c r="H24">
        <f t="shared" si="0"/>
        <v>1.5</v>
      </c>
      <c r="I24" s="463">
        <f t="shared" si="1"/>
        <v>0.49209166666666676</v>
      </c>
      <c r="J24" s="464">
        <f t="shared" si="2"/>
        <v>8.0046911111111125</v>
      </c>
      <c r="K24" s="464">
        <f t="shared" si="31"/>
        <v>5.5023455555555563</v>
      </c>
      <c r="L24" s="464">
        <f t="shared" si="32"/>
        <v>-2.5023455555555563</v>
      </c>
      <c r="M24" s="77">
        <f t="shared" si="3"/>
        <v>24</v>
      </c>
      <c r="N24" s="463">
        <f t="shared" si="4"/>
        <v>2.7549210482380624</v>
      </c>
      <c r="O24" s="463">
        <f t="shared" si="5"/>
        <v>3.8063504466998917E-2</v>
      </c>
      <c r="P24">
        <f t="shared" si="6"/>
        <v>0.5</v>
      </c>
      <c r="Q24" s="463">
        <f t="shared" si="34"/>
        <v>0.53806350446699891</v>
      </c>
      <c r="R24" s="9">
        <f t="shared" si="39"/>
        <v>2.310755283889903</v>
      </c>
      <c r="S24" s="9">
        <f t="shared" si="7"/>
        <v>1.6018769946075321E-2</v>
      </c>
      <c r="T24" s="9">
        <f t="shared" si="40"/>
        <v>1.6018769946075321E-2</v>
      </c>
      <c r="U24" s="463">
        <f t="shared" si="8"/>
        <v>1.9325563338674947</v>
      </c>
      <c r="V24" s="465">
        <f t="shared" si="9"/>
        <v>3.7347739835713718E-2</v>
      </c>
      <c r="W24" s="463">
        <f t="shared" si="41"/>
        <v>3.7347739835713718E-2</v>
      </c>
      <c r="X24" s="463">
        <f t="shared" si="10"/>
        <v>1.9325563338674947</v>
      </c>
      <c r="Y24" s="463">
        <f t="shared" si="11"/>
        <v>6.7225931704284689E-3</v>
      </c>
      <c r="Z24" s="463">
        <f t="shared" si="12"/>
        <v>0.25313251306287798</v>
      </c>
      <c r="AA24" s="463">
        <f t="shared" si="13"/>
        <v>0</v>
      </c>
      <c r="AB24" s="463">
        <f t="shared" si="14"/>
        <v>3.0028146666666675E-2</v>
      </c>
      <c r="AC24" s="463">
        <f t="shared" si="15"/>
        <v>0.29027353107148057</v>
      </c>
      <c r="AD24" s="463">
        <f t="shared" si="16"/>
        <v>1.9633685335294881</v>
      </c>
      <c r="AE24" s="463">
        <f t="shared" si="17"/>
        <v>6.9386687972167191E-3</v>
      </c>
      <c r="AF24" s="463">
        <f t="shared" si="18"/>
        <v>6.6028146666666676E-2</v>
      </c>
      <c r="AG24" s="463">
        <f t="shared" si="19"/>
        <v>7.3068214692153952E-2</v>
      </c>
      <c r="AH24" s="463">
        <f t="shared" si="20"/>
        <v>0</v>
      </c>
      <c r="AI24">
        <f t="shared" si="21"/>
        <v>0</v>
      </c>
      <c r="AJ24" s="464">
        <f t="shared" si="22"/>
        <v>0.43195139999999993</v>
      </c>
      <c r="AK24">
        <f t="shared" si="23"/>
        <v>7.2000000000000008E-2</v>
      </c>
      <c r="AL24" s="464">
        <f t="shared" si="24"/>
        <v>0.98399999999999999</v>
      </c>
      <c r="AM24" s="464">
        <f t="shared" si="25"/>
        <v>0.82265384615384629</v>
      </c>
      <c r="AN24" s="464">
        <f t="shared" si="42"/>
        <v>1.056</v>
      </c>
      <c r="AO24" s="464">
        <f t="shared" si="26"/>
        <v>2.4427231600124224</v>
      </c>
      <c r="AP24" s="100">
        <f t="shared" si="27"/>
        <v>17.700000000000003</v>
      </c>
      <c r="AQ24" s="10">
        <f t="shared" si="43"/>
        <v>0.8787292492376727</v>
      </c>
      <c r="AR24" s="77">
        <f t="shared" si="28"/>
        <v>14.51367655357403</v>
      </c>
      <c r="AS24" s="77">
        <f t="shared" si="44"/>
        <v>3.6534107346076974</v>
      </c>
      <c r="AT24" s="10"/>
      <c r="AU24">
        <f t="shared" si="45"/>
        <v>87.872924923767272</v>
      </c>
      <c r="BE24" s="31"/>
      <c r="BF24" s="32"/>
    </row>
    <row r="25" spans="1:69" x14ac:dyDescent="0.2">
      <c r="A25" s="54" t="s">
        <v>158</v>
      </c>
      <c r="B25" s="59">
        <f>CoutEsr*1000</f>
        <v>3</v>
      </c>
      <c r="C25" s="473" t="s">
        <v>622</v>
      </c>
      <c r="D25" s="34" t="s">
        <v>200</v>
      </c>
      <c r="G25">
        <v>16</v>
      </c>
      <c r="H25">
        <f t="shared" si="0"/>
        <v>1.6</v>
      </c>
      <c r="I25" s="463">
        <f t="shared" si="1"/>
        <v>0.49211999999999995</v>
      </c>
      <c r="J25" s="464">
        <f t="shared" si="2"/>
        <v>8.0051519999999989</v>
      </c>
      <c r="K25" s="464">
        <f t="shared" si="31"/>
        <v>5.6025759999999991</v>
      </c>
      <c r="L25" s="464">
        <f t="shared" si="32"/>
        <v>-2.4025759999999994</v>
      </c>
      <c r="M25" s="77">
        <f t="shared" si="3"/>
        <v>24</v>
      </c>
      <c r="N25" s="463">
        <f t="shared" si="4"/>
        <v>2.8107303105406607</v>
      </c>
      <c r="O25" s="463">
        <f t="shared" si="5"/>
        <v>3.9626246579579305E-2</v>
      </c>
      <c r="P25">
        <f t="shared" si="6"/>
        <v>0.5</v>
      </c>
      <c r="Q25" s="463">
        <f t="shared" si="34"/>
        <v>0.53962624657957936</v>
      </c>
      <c r="R25" s="9">
        <f t="shared" si="39"/>
        <v>2.3108883310519355</v>
      </c>
      <c r="S25" s="9">
        <f t="shared" si="7"/>
        <v>1.6020614635776E-2</v>
      </c>
      <c r="T25" s="9">
        <f t="shared" si="40"/>
        <v>1.6020614635776E-2</v>
      </c>
      <c r="U25" s="463">
        <f t="shared" si="8"/>
        <v>1.9717628723689606</v>
      </c>
      <c r="V25" s="465">
        <f t="shared" si="9"/>
        <v>3.8878488248526945E-2</v>
      </c>
      <c r="W25" s="463">
        <f t="shared" si="41"/>
        <v>3.8878488248526945E-2</v>
      </c>
      <c r="X25" s="463">
        <f t="shared" si="10"/>
        <v>1.9717628723689606</v>
      </c>
      <c r="Y25" s="463">
        <f t="shared" si="11"/>
        <v>6.9981278847348494E-3</v>
      </c>
      <c r="Z25" s="463">
        <f t="shared" si="12"/>
        <v>0.25774356193857317</v>
      </c>
      <c r="AA25" s="463">
        <f t="shared" si="13"/>
        <v>0</v>
      </c>
      <c r="AB25" s="463">
        <f t="shared" si="14"/>
        <v>2.8830911999999993E-2</v>
      </c>
      <c r="AC25" s="463">
        <f t="shared" si="15"/>
        <v>0.29398406944611977</v>
      </c>
      <c r="AD25" s="463">
        <f t="shared" si="16"/>
        <v>2.0030866316111506</v>
      </c>
      <c r="AE25" s="463">
        <f t="shared" si="17"/>
        <v>7.2222408967307508E-3</v>
      </c>
      <c r="AF25" s="463">
        <f t="shared" si="18"/>
        <v>6.723091199999999E-2</v>
      </c>
      <c r="AG25" s="463">
        <f t="shared" si="19"/>
        <v>7.4560852183918308E-2</v>
      </c>
      <c r="AH25" s="463">
        <f t="shared" si="20"/>
        <v>0</v>
      </c>
      <c r="AI25">
        <f t="shared" si="21"/>
        <v>0</v>
      </c>
      <c r="AJ25" s="464">
        <f t="shared" si="22"/>
        <v>0.43194815999999997</v>
      </c>
      <c r="AK25">
        <f t="shared" si="23"/>
        <v>7.2000000000000008E-2</v>
      </c>
      <c r="AL25" s="464">
        <f t="shared" si="24"/>
        <v>0.98399999999999999</v>
      </c>
      <c r="AM25" s="464">
        <f t="shared" si="25"/>
        <v>0.82265384615384629</v>
      </c>
      <c r="AN25" s="464">
        <f t="shared" si="42"/>
        <v>1.056</v>
      </c>
      <c r="AO25" s="464">
        <f t="shared" si="26"/>
        <v>2.45101843109392</v>
      </c>
      <c r="AP25" s="100">
        <f t="shared" si="27"/>
        <v>18.880000000000003</v>
      </c>
      <c r="AQ25" s="10">
        <f t="shared" si="43"/>
        <v>0.88509604269428099</v>
      </c>
      <c r="AR25" s="77">
        <f t="shared" si="28"/>
        <v>14.699203472305989</v>
      </c>
      <c r="AS25" s="77">
        <f t="shared" si="44"/>
        <v>3.7280426091959153</v>
      </c>
      <c r="AT25" s="10"/>
      <c r="AU25">
        <f t="shared" si="45"/>
        <v>88.509604269428095</v>
      </c>
      <c r="BC25" t="s">
        <v>240</v>
      </c>
      <c r="BD25" t="s">
        <v>4</v>
      </c>
      <c r="BE25" t="s">
        <v>6</v>
      </c>
      <c r="BF25" t="s">
        <v>5</v>
      </c>
      <c r="BG25" t="s">
        <v>241</v>
      </c>
      <c r="BH25" t="s">
        <v>242</v>
      </c>
    </row>
    <row r="26" spans="1:69" x14ac:dyDescent="0.2">
      <c r="A26" s="37" t="s">
        <v>202</v>
      </c>
      <c r="B26" s="56" t="s">
        <v>201</v>
      </c>
      <c r="C26" s="37" t="s">
        <v>148</v>
      </c>
      <c r="D26" s="30" t="s">
        <v>188</v>
      </c>
      <c r="G26">
        <v>17</v>
      </c>
      <c r="H26">
        <f t="shared" si="0"/>
        <v>1.7000000000000002</v>
      </c>
      <c r="I26" s="463">
        <f t="shared" si="1"/>
        <v>0.49214833333333335</v>
      </c>
      <c r="J26" s="464">
        <f t="shared" si="2"/>
        <v>8.0056128888888889</v>
      </c>
      <c r="K26" s="464">
        <f t="shared" si="31"/>
        <v>5.7028064444444446</v>
      </c>
      <c r="L26" s="464">
        <f t="shared" si="32"/>
        <v>-2.3028064444444443</v>
      </c>
      <c r="M26" s="77">
        <f t="shared" si="3"/>
        <v>24</v>
      </c>
      <c r="N26" s="463">
        <f t="shared" si="4"/>
        <v>2.8689405379969091</v>
      </c>
      <c r="O26" s="463">
        <f t="shared" si="5"/>
        <v>4.1290039402527255E-2</v>
      </c>
      <c r="P26">
        <f t="shared" si="6"/>
        <v>0.5</v>
      </c>
      <c r="Q26" s="463">
        <f t="shared" si="34"/>
        <v>0.54129003940252729</v>
      </c>
      <c r="R26" s="9">
        <f t="shared" si="39"/>
        <v>2.3110213782139688</v>
      </c>
      <c r="S26" s="9">
        <f t="shared" si="7"/>
        <v>1.6022459431685974E-2</v>
      </c>
      <c r="T26" s="9">
        <f t="shared" si="40"/>
        <v>1.6022459431685974E-2</v>
      </c>
      <c r="U26" s="463">
        <f t="shared" si="8"/>
        <v>2.0126560192280913</v>
      </c>
      <c r="V26" s="465">
        <f t="shared" si="9"/>
        <v>4.0507842517350678E-2</v>
      </c>
      <c r="W26" s="463">
        <f t="shared" si="41"/>
        <v>4.0507842517350678E-2</v>
      </c>
      <c r="X26" s="463">
        <f t="shared" si="10"/>
        <v>2.0126560192280913</v>
      </c>
      <c r="Y26" s="463">
        <f t="shared" si="11"/>
        <v>7.2914116531231218E-3</v>
      </c>
      <c r="Z26" s="463">
        <f t="shared" si="12"/>
        <v>0.26235461081426853</v>
      </c>
      <c r="AA26" s="463">
        <f t="shared" si="13"/>
        <v>0</v>
      </c>
      <c r="AB26" s="463">
        <f t="shared" si="14"/>
        <v>2.7633677333333329E-2</v>
      </c>
      <c r="AC26" s="463">
        <f t="shared" si="15"/>
        <v>0.2977138506487082</v>
      </c>
      <c r="AD26" s="463">
        <f t="shared" si="16"/>
        <v>2.0445135262029757</v>
      </c>
      <c r="AE26" s="463">
        <f t="shared" si="17"/>
        <v>7.5240640058884655E-3</v>
      </c>
      <c r="AF26" s="463">
        <f t="shared" si="18"/>
        <v>6.8433677333333331E-2</v>
      </c>
      <c r="AG26" s="463">
        <f t="shared" si="19"/>
        <v>7.6072215783346525E-2</v>
      </c>
      <c r="AH26" s="463">
        <f t="shared" si="20"/>
        <v>0</v>
      </c>
      <c r="AI26">
        <f t="shared" si="21"/>
        <v>0</v>
      </c>
      <c r="AJ26" s="464">
        <f t="shared" si="22"/>
        <v>0.43194491999999995</v>
      </c>
      <c r="AK26">
        <f t="shared" si="23"/>
        <v>7.2000000000000008E-2</v>
      </c>
      <c r="AL26" s="464">
        <f t="shared" si="24"/>
        <v>0.98399999999999999</v>
      </c>
      <c r="AM26" s="464">
        <f t="shared" si="25"/>
        <v>0.82265384615384629</v>
      </c>
      <c r="AN26" s="464">
        <f t="shared" si="42"/>
        <v>1.056</v>
      </c>
      <c r="AO26" s="464">
        <f t="shared" si="26"/>
        <v>2.4595513277836183</v>
      </c>
      <c r="AP26" s="100">
        <f t="shared" si="27"/>
        <v>20.060000000000002</v>
      </c>
      <c r="AQ26" s="10">
        <f t="shared" si="43"/>
        <v>0.89078151282929274</v>
      </c>
      <c r="AR26" s="77">
        <f t="shared" si="28"/>
        <v>14.88569253243541</v>
      </c>
      <c r="AS26" s="77">
        <f t="shared" si="44"/>
        <v>3.8036107891673261</v>
      </c>
      <c r="AT26" s="10"/>
      <c r="AU26">
        <f t="shared" si="45"/>
        <v>89.078151282929269</v>
      </c>
      <c r="BC26" t="s">
        <v>243</v>
      </c>
      <c r="BD26">
        <v>9.9989640000000009</v>
      </c>
      <c r="BE26">
        <v>0.1027</v>
      </c>
      <c r="BF26">
        <v>5.1211359999999999</v>
      </c>
      <c r="BG26">
        <v>61.870683235325004</v>
      </c>
      <c r="BH26">
        <v>324.12365701136014</v>
      </c>
    </row>
    <row r="27" spans="1:69" x14ac:dyDescent="0.2">
      <c r="A27" s="35" t="s">
        <v>132</v>
      </c>
      <c r="B27" s="5">
        <v>1.5</v>
      </c>
      <c r="C27" s="472" t="s">
        <v>208</v>
      </c>
      <c r="D27" s="34" t="s">
        <v>204</v>
      </c>
      <c r="G27">
        <v>18</v>
      </c>
      <c r="H27">
        <f t="shared" si="0"/>
        <v>1.7999999999999998</v>
      </c>
      <c r="I27" s="463">
        <f t="shared" si="1"/>
        <v>0.49217666666666671</v>
      </c>
      <c r="J27" s="464">
        <f t="shared" si="2"/>
        <v>8.0060737777777771</v>
      </c>
      <c r="K27" s="464">
        <f t="shared" si="31"/>
        <v>5.8030368888888884</v>
      </c>
      <c r="L27" s="464">
        <f t="shared" si="32"/>
        <v>-2.2030368888888887</v>
      </c>
      <c r="M27" s="77">
        <f t="shared" si="3"/>
        <v>24</v>
      </c>
      <c r="N27" s="463">
        <f t="shared" si="4"/>
        <v>2.9294086054927666</v>
      </c>
      <c r="O27" s="463">
        <f t="shared" si="5"/>
        <v>4.3054963233216274E-2</v>
      </c>
      <c r="P27">
        <f t="shared" si="6"/>
        <v>0.5</v>
      </c>
      <c r="Q27" s="463">
        <f t="shared" si="34"/>
        <v>0.54305496323321623</v>
      </c>
      <c r="R27" s="9">
        <f t="shared" si="39"/>
        <v>2.3111544253760021</v>
      </c>
      <c r="S27" s="9">
        <f t="shared" si="7"/>
        <v>1.6024304333805237E-2</v>
      </c>
      <c r="T27" s="9">
        <f t="shared" si="40"/>
        <v>1.6024304333805237E-2</v>
      </c>
      <c r="U27" s="463">
        <f t="shared" si="8"/>
        <v>2.0551355099412527</v>
      </c>
      <c r="V27" s="465">
        <f t="shared" si="9"/>
        <v>4.2235819642214935E-2</v>
      </c>
      <c r="W27" s="463">
        <f t="shared" si="41"/>
        <v>4.2235819642214935E-2</v>
      </c>
      <c r="X27" s="463">
        <f t="shared" si="10"/>
        <v>2.0551355099412527</v>
      </c>
      <c r="Y27" s="463">
        <f t="shared" si="11"/>
        <v>7.6024475355986878E-3</v>
      </c>
      <c r="Z27" s="463">
        <f t="shared" si="12"/>
        <v>0.26696565968996377</v>
      </c>
      <c r="AA27" s="463">
        <f t="shared" si="13"/>
        <v>0</v>
      </c>
      <c r="AB27" s="463">
        <f t="shared" si="14"/>
        <v>2.6436442666666664E-2</v>
      </c>
      <c r="AC27" s="463">
        <f t="shared" si="15"/>
        <v>0.30146292110054818</v>
      </c>
      <c r="AD27" s="463">
        <f t="shared" si="16"/>
        <v>2.087547080598084</v>
      </c>
      <c r="AE27" s="463">
        <f t="shared" si="17"/>
        <v>7.8441350646844508E-3</v>
      </c>
      <c r="AF27" s="463">
        <f t="shared" si="18"/>
        <v>6.9636442666666659E-2</v>
      </c>
      <c r="AG27" s="463">
        <f t="shared" si="19"/>
        <v>7.7602322350921876E-2</v>
      </c>
      <c r="AH27" s="463">
        <f t="shared" si="20"/>
        <v>0</v>
      </c>
      <c r="AI27">
        <f t="shared" si="21"/>
        <v>0</v>
      </c>
      <c r="AJ27" s="464">
        <f t="shared" si="22"/>
        <v>0.43194167999999994</v>
      </c>
      <c r="AK27">
        <f t="shared" si="23"/>
        <v>7.2000000000000008E-2</v>
      </c>
      <c r="AL27" s="464">
        <f t="shared" si="24"/>
        <v>0.98399999999999999</v>
      </c>
      <c r="AM27" s="464">
        <f t="shared" si="25"/>
        <v>0.82265384615384629</v>
      </c>
      <c r="AN27" s="464">
        <f t="shared" si="42"/>
        <v>1.056</v>
      </c>
      <c r="AO27" s="464">
        <f t="shared" si="26"/>
        <v>2.4683220106607067</v>
      </c>
      <c r="AP27" s="100">
        <f t="shared" si="27"/>
        <v>21.24</v>
      </c>
      <c r="AQ27" s="10">
        <f t="shared" si="43"/>
        <v>0.89588794982830089</v>
      </c>
      <c r="AR27" s="77">
        <f t="shared" si="28"/>
        <v>15.073146055027408</v>
      </c>
      <c r="AS27" s="77">
        <f t="shared" si="44"/>
        <v>3.8801161175460939</v>
      </c>
      <c r="AT27" s="10"/>
      <c r="AU27">
        <f t="shared" si="45"/>
        <v>89.588794982830095</v>
      </c>
      <c r="BC27" t="s">
        <v>244</v>
      </c>
      <c r="BD27">
        <v>9.9986669999999993</v>
      </c>
      <c r="BE27">
        <v>0.1166</v>
      </c>
      <c r="BF27">
        <v>5.1212980000000003</v>
      </c>
      <c r="BG27">
        <v>64.729420570558148</v>
      </c>
      <c r="BH27">
        <v>325.37886459483997</v>
      </c>
    </row>
    <row r="28" spans="1:69" x14ac:dyDescent="0.2">
      <c r="A28" s="35" t="s">
        <v>239</v>
      </c>
      <c r="B28" s="5">
        <v>0.9</v>
      </c>
      <c r="C28" s="472" t="s">
        <v>208</v>
      </c>
      <c r="D28" s="34" t="s">
        <v>205</v>
      </c>
      <c r="G28">
        <v>19</v>
      </c>
      <c r="H28">
        <f t="shared" si="0"/>
        <v>1.9</v>
      </c>
      <c r="I28" s="463">
        <f t="shared" si="1"/>
        <v>0.492205</v>
      </c>
      <c r="J28" s="464">
        <f t="shared" si="2"/>
        <v>8.0065346666666652</v>
      </c>
      <c r="K28" s="464">
        <f t="shared" si="31"/>
        <v>5.9032673333333321</v>
      </c>
      <c r="L28" s="464">
        <f t="shared" si="32"/>
        <v>-2.1032673333333327</v>
      </c>
      <c r="M28" s="77">
        <f t="shared" si="3"/>
        <v>24</v>
      </c>
      <c r="N28" s="463">
        <f t="shared" si="4"/>
        <v>2.9919976237810175</v>
      </c>
      <c r="O28" s="463">
        <f t="shared" si="5"/>
        <v>4.4921103284679846E-2</v>
      </c>
      <c r="P28">
        <f t="shared" si="6"/>
        <v>0.5</v>
      </c>
      <c r="Q28" s="463">
        <f t="shared" si="34"/>
        <v>0.5449211032846798</v>
      </c>
      <c r="R28" s="9">
        <f t="shared" si="39"/>
        <v>2.311287472538035</v>
      </c>
      <c r="S28" s="9">
        <f t="shared" si="7"/>
        <v>1.6026149342133773E-2</v>
      </c>
      <c r="T28" s="9">
        <f t="shared" si="40"/>
        <v>1.6026149342133773E-2</v>
      </c>
      <c r="U28" s="463">
        <f t="shared" si="8"/>
        <v>2.0991054433531882</v>
      </c>
      <c r="V28" s="465">
        <f t="shared" si="9"/>
        <v>4.4062436623149848E-2</v>
      </c>
      <c r="W28" s="463">
        <f t="shared" si="41"/>
        <v>4.4062436623149848E-2</v>
      </c>
      <c r="X28" s="463">
        <f t="shared" si="10"/>
        <v>2.0991054433531882</v>
      </c>
      <c r="Y28" s="463">
        <f t="shared" si="11"/>
        <v>7.9312385921669736E-3</v>
      </c>
      <c r="Z28" s="463">
        <f t="shared" si="12"/>
        <v>0.27157670856565902</v>
      </c>
      <c r="AA28" s="463">
        <f t="shared" si="13"/>
        <v>0</v>
      </c>
      <c r="AB28" s="463">
        <f t="shared" si="14"/>
        <v>2.5239207999999992E-2</v>
      </c>
      <c r="AC28" s="463">
        <f t="shared" si="15"/>
        <v>0.30523132765491301</v>
      </c>
      <c r="AD28" s="463">
        <f t="shared" si="16"/>
        <v>2.1320896131251783</v>
      </c>
      <c r="AE28" s="463">
        <f t="shared" si="17"/>
        <v>8.1824510131132903E-3</v>
      </c>
      <c r="AF28" s="463">
        <f t="shared" si="18"/>
        <v>7.0839207999999987E-2</v>
      </c>
      <c r="AG28" s="463">
        <f t="shared" si="19"/>
        <v>7.9151189158697427E-2</v>
      </c>
      <c r="AH28" s="463">
        <f t="shared" si="20"/>
        <v>0</v>
      </c>
      <c r="AI28">
        <f t="shared" si="21"/>
        <v>0</v>
      </c>
      <c r="AJ28" s="464">
        <f t="shared" si="22"/>
        <v>0.43193843999999998</v>
      </c>
      <c r="AK28">
        <f t="shared" si="23"/>
        <v>7.2000000000000008E-2</v>
      </c>
      <c r="AL28" s="464">
        <f t="shared" si="24"/>
        <v>0.98399999999999999</v>
      </c>
      <c r="AM28" s="464">
        <f t="shared" si="25"/>
        <v>0.82265384615384629</v>
      </c>
      <c r="AN28" s="464">
        <f t="shared" si="42"/>
        <v>1.056</v>
      </c>
      <c r="AO28" s="464">
        <f t="shared" si="26"/>
        <v>2.4773306460635736</v>
      </c>
      <c r="AP28" s="100">
        <f t="shared" si="27"/>
        <v>22.42</v>
      </c>
      <c r="AQ28" s="10">
        <f t="shared" si="43"/>
        <v>0.9004981425004589</v>
      </c>
      <c r="AR28" s="77">
        <f t="shared" si="28"/>
        <v>15.26156638274565</v>
      </c>
      <c r="AS28" s="77">
        <f t="shared" si="44"/>
        <v>3.9575594579348712</v>
      </c>
      <c r="AT28" s="10"/>
      <c r="AU28">
        <f t="shared" si="45"/>
        <v>90.049814250045884</v>
      </c>
      <c r="BC28" t="s">
        <v>245</v>
      </c>
      <c r="BD28">
        <v>9.9987659999999998</v>
      </c>
      <c r="BE28">
        <v>0.14660000000000001</v>
      </c>
      <c r="BF28">
        <v>5.1213230000000003</v>
      </c>
      <c r="BG28">
        <v>69.885376918691776</v>
      </c>
      <c r="BH28">
        <v>323.52446193379996</v>
      </c>
    </row>
    <row r="29" spans="1:69" x14ac:dyDescent="0.2">
      <c r="A29" s="37" t="s">
        <v>203</v>
      </c>
      <c r="B29" s="28" t="s">
        <v>201</v>
      </c>
      <c r="C29" s="37" t="s">
        <v>148</v>
      </c>
      <c r="D29" s="30" t="s">
        <v>188</v>
      </c>
      <c r="G29">
        <v>20</v>
      </c>
      <c r="H29">
        <f t="shared" si="0"/>
        <v>2</v>
      </c>
      <c r="I29" s="463">
        <f t="shared" si="1"/>
        <v>0.49223333333333336</v>
      </c>
      <c r="J29" s="464">
        <f t="shared" si="2"/>
        <v>8.0069955555555552</v>
      </c>
      <c r="K29" s="464">
        <f t="shared" si="31"/>
        <v>6.0034977777777776</v>
      </c>
      <c r="L29" s="464">
        <f t="shared" si="32"/>
        <v>-2.0034977777777776</v>
      </c>
      <c r="M29" s="77">
        <f t="shared" si="3"/>
        <v>24</v>
      </c>
      <c r="N29" s="463">
        <f t="shared" si="4"/>
        <v>3.0565773045827802</v>
      </c>
      <c r="O29" s="463">
        <f t="shared" si="5"/>
        <v>4.6888549695913793E-2</v>
      </c>
      <c r="P29">
        <f t="shared" si="6"/>
        <v>0.5</v>
      </c>
      <c r="Q29" s="463">
        <f t="shared" si="34"/>
        <v>0.54688854969591383</v>
      </c>
      <c r="R29" s="9">
        <f t="shared" si="39"/>
        <v>2.3114205197000688</v>
      </c>
      <c r="S29" s="9">
        <f t="shared" si="7"/>
        <v>1.6027994456671607E-2</v>
      </c>
      <c r="T29" s="9">
        <f t="shared" si="40"/>
        <v>1.6027994456671607E-2</v>
      </c>
      <c r="U29" s="463">
        <f t="shared" si="8"/>
        <v>2.1444745384402562</v>
      </c>
      <c r="V29" s="465">
        <f t="shared" si="9"/>
        <v>4.5987710460185502E-2</v>
      </c>
      <c r="W29" s="463">
        <f t="shared" si="41"/>
        <v>4.5987710460185502E-2</v>
      </c>
      <c r="X29" s="463">
        <f t="shared" si="10"/>
        <v>2.1444745384402562</v>
      </c>
      <c r="Y29" s="463">
        <f t="shared" si="11"/>
        <v>8.2777878828333897E-3</v>
      </c>
      <c r="Z29" s="463">
        <f t="shared" si="12"/>
        <v>0.27618775744135438</v>
      </c>
      <c r="AA29" s="463">
        <f t="shared" si="13"/>
        <v>0</v>
      </c>
      <c r="AB29" s="463">
        <f t="shared" si="14"/>
        <v>2.4041973333333327E-2</v>
      </c>
      <c r="AC29" s="463">
        <f t="shared" si="15"/>
        <v>0.30901911759896605</v>
      </c>
      <c r="AD29" s="463">
        <f t="shared" si="16"/>
        <v>2.1780481566925887</v>
      </c>
      <c r="AE29" s="463">
        <f t="shared" si="17"/>
        <v>8.5390087911695698E-3</v>
      </c>
      <c r="AF29" s="463">
        <f t="shared" si="18"/>
        <v>7.2041973333333328E-2</v>
      </c>
      <c r="AG29" s="463">
        <f t="shared" si="19"/>
        <v>8.0718833890944447E-2</v>
      </c>
      <c r="AH29" s="463">
        <f t="shared" si="20"/>
        <v>0</v>
      </c>
      <c r="AI29">
        <f t="shared" si="21"/>
        <v>0</v>
      </c>
      <c r="AJ29" s="464">
        <f t="shared" si="22"/>
        <v>0.43193519999999996</v>
      </c>
      <c r="AK29">
        <f t="shared" si="23"/>
        <v>7.2000000000000008E-2</v>
      </c>
      <c r="AL29" s="464">
        <f t="shared" si="24"/>
        <v>0.98399999999999999</v>
      </c>
      <c r="AM29" s="464">
        <f t="shared" si="25"/>
        <v>0.82265384615384629</v>
      </c>
      <c r="AN29" s="464">
        <f t="shared" si="42"/>
        <v>1.056</v>
      </c>
      <c r="AO29" s="464">
        <f t="shared" si="26"/>
        <v>2.4865774061026813</v>
      </c>
      <c r="AP29" s="100">
        <f t="shared" si="27"/>
        <v>23.6</v>
      </c>
      <c r="AQ29" s="10">
        <f t="shared" si="43"/>
        <v>0.90467981416676868</v>
      </c>
      <c r="AR29" s="77">
        <f t="shared" si="28"/>
        <v>15.450955879948303</v>
      </c>
      <c r="AS29" s="77">
        <f t="shared" si="44"/>
        <v>4.0359416945472226</v>
      </c>
      <c r="AT29" s="10"/>
      <c r="AU29">
        <f t="shared" si="45"/>
        <v>90.467981416676864</v>
      </c>
      <c r="BC29" t="s">
        <v>246</v>
      </c>
      <c r="BD29">
        <v>9.9987899999999996</v>
      </c>
      <c r="BE29">
        <v>0.1958</v>
      </c>
      <c r="BF29">
        <v>5.1217600000000001</v>
      </c>
      <c r="BG29">
        <v>75.662516566515876</v>
      </c>
      <c r="BH29">
        <v>322.57199766699983</v>
      </c>
    </row>
    <row r="30" spans="1:69" x14ac:dyDescent="0.2">
      <c r="A30" s="35" t="s">
        <v>131</v>
      </c>
      <c r="B30" s="41">
        <v>1.5</v>
      </c>
      <c r="C30" s="472" t="s">
        <v>208</v>
      </c>
      <c r="D30" s="34" t="s">
        <v>204</v>
      </c>
      <c r="G30">
        <v>21</v>
      </c>
      <c r="H30">
        <f t="shared" si="0"/>
        <v>2.1</v>
      </c>
      <c r="I30" s="463">
        <f t="shared" si="1"/>
        <v>0.49226166666666676</v>
      </c>
      <c r="J30" s="464">
        <f t="shared" si="2"/>
        <v>8.0074564444444452</v>
      </c>
      <c r="K30" s="464">
        <f t="shared" si="31"/>
        <v>6.1037282222222231</v>
      </c>
      <c r="L30" s="464">
        <f t="shared" si="32"/>
        <v>-1.9037282222222225</v>
      </c>
      <c r="M30" s="77">
        <f t="shared" si="3"/>
        <v>24</v>
      </c>
      <c r="N30" s="463">
        <f t="shared" si="4"/>
        <v>3.1230241581635112</v>
      </c>
      <c r="O30" s="463">
        <f t="shared" si="5"/>
        <v>4.8957397542781264E-2</v>
      </c>
      <c r="P30">
        <f t="shared" si="6"/>
        <v>0.5</v>
      </c>
      <c r="Q30" s="463">
        <f t="shared" si="34"/>
        <v>0.54895739754278128</v>
      </c>
      <c r="R30" s="9">
        <f t="shared" si="39"/>
        <v>2.3115535668621021</v>
      </c>
      <c r="S30" s="9">
        <f t="shared" si="7"/>
        <v>1.6029839677418722E-2</v>
      </c>
      <c r="T30" s="9">
        <f t="shared" si="40"/>
        <v>1.6029839677418722E-2</v>
      </c>
      <c r="U30" s="463">
        <f t="shared" si="8"/>
        <v>2.1911562735996721</v>
      </c>
      <c r="V30" s="465">
        <f t="shared" si="9"/>
        <v>4.801165815335201E-2</v>
      </c>
      <c r="W30" s="463">
        <f t="shared" si="41"/>
        <v>4.801165815335201E-2</v>
      </c>
      <c r="X30" s="463">
        <f t="shared" si="10"/>
        <v>2.1911562735996721</v>
      </c>
      <c r="Y30" s="463">
        <f t="shared" si="11"/>
        <v>8.6420984676033614E-3</v>
      </c>
      <c r="Z30" s="463">
        <f t="shared" si="12"/>
        <v>0.28079880631704968</v>
      </c>
      <c r="AA30" s="463">
        <f t="shared" si="13"/>
        <v>0</v>
      </c>
      <c r="AB30" s="463">
        <f t="shared" si="14"/>
        <v>2.284473866666667E-2</v>
      </c>
      <c r="AC30" s="463">
        <f t="shared" si="15"/>
        <v>0.31282633865570425</v>
      </c>
      <c r="AD30" s="463">
        <f t="shared" si="16"/>
        <v>2.2253345989171396</v>
      </c>
      <c r="AE30" s="463">
        <f t="shared" si="17"/>
        <v>8.913805338847872E-3</v>
      </c>
      <c r="AF30" s="463">
        <f t="shared" si="18"/>
        <v>7.3244738666666684E-2</v>
      </c>
      <c r="AG30" s="463">
        <f t="shared" si="19"/>
        <v>8.2305274644823428E-2</v>
      </c>
      <c r="AH30" s="463">
        <f t="shared" si="20"/>
        <v>0</v>
      </c>
      <c r="AI30">
        <f t="shared" si="21"/>
        <v>0</v>
      </c>
      <c r="AJ30" s="464">
        <f t="shared" si="22"/>
        <v>0.43193196</v>
      </c>
      <c r="AK30">
        <f t="shared" si="23"/>
        <v>7.2000000000000008E-2</v>
      </c>
      <c r="AL30" s="464">
        <f t="shared" si="24"/>
        <v>0.98399999999999999</v>
      </c>
      <c r="AM30" s="464">
        <f t="shared" si="25"/>
        <v>0.82265384615384629</v>
      </c>
      <c r="AN30" s="464">
        <f t="shared" si="42"/>
        <v>1.056</v>
      </c>
      <c r="AO30" s="464">
        <f t="shared" si="26"/>
        <v>2.4960624686740798</v>
      </c>
      <c r="AP30" s="100">
        <f t="shared" si="27"/>
        <v>24.78</v>
      </c>
      <c r="AQ30" s="10">
        <f t="shared" si="43"/>
        <v>0.90848890042172514</v>
      </c>
      <c r="AR30" s="77">
        <f t="shared" si="28"/>
        <v>15.641316932785212</v>
      </c>
      <c r="AS30" s="77">
        <f t="shared" si="44"/>
        <v>4.1152637322411714</v>
      </c>
      <c r="AT30" s="10"/>
      <c r="AU30">
        <f t="shared" si="45"/>
        <v>90.848890042172513</v>
      </c>
      <c r="BD30">
        <v>9.9987659999999998</v>
      </c>
      <c r="BE30">
        <v>0.2681</v>
      </c>
      <c r="BF30">
        <v>5.1224080000000001</v>
      </c>
      <c r="BG30">
        <v>80.957553445887683</v>
      </c>
      <c r="BH30">
        <v>323.02506068319997</v>
      </c>
    </row>
    <row r="31" spans="1:69" x14ac:dyDescent="0.2">
      <c r="A31" s="35" t="s">
        <v>238</v>
      </c>
      <c r="B31" s="41">
        <v>0.9</v>
      </c>
      <c r="C31" s="472" t="s">
        <v>208</v>
      </c>
      <c r="D31" s="34" t="s">
        <v>205</v>
      </c>
      <c r="G31">
        <v>22</v>
      </c>
      <c r="H31">
        <f t="shared" si="0"/>
        <v>2.2000000000000002</v>
      </c>
      <c r="I31" s="463">
        <f t="shared" si="1"/>
        <v>0.49228999999999995</v>
      </c>
      <c r="J31" s="464">
        <f t="shared" si="2"/>
        <v>8.0079173333333316</v>
      </c>
      <c r="K31" s="464">
        <f t="shared" si="31"/>
        <v>6.203958666666666</v>
      </c>
      <c r="L31" s="464">
        <f t="shared" si="32"/>
        <v>-1.8039586666666656</v>
      </c>
      <c r="M31" s="77">
        <f t="shared" si="3"/>
        <v>24</v>
      </c>
      <c r="N31" s="463">
        <f t="shared" si="4"/>
        <v>3.1912215531765211</v>
      </c>
      <c r="O31" s="463">
        <f t="shared" si="5"/>
        <v>5.1127746849522517E-2</v>
      </c>
      <c r="P31">
        <f t="shared" si="6"/>
        <v>0.5</v>
      </c>
      <c r="Q31" s="463">
        <f t="shared" si="34"/>
        <v>0.55112774684952248</v>
      </c>
      <c r="R31" s="9">
        <f t="shared" si="39"/>
        <v>2.3116866140241346</v>
      </c>
      <c r="S31" s="9">
        <f t="shared" si="7"/>
        <v>1.6031685004375105E-2</v>
      </c>
      <c r="T31" s="9">
        <f t="shared" si="40"/>
        <v>1.6031685004375105E-2</v>
      </c>
      <c r="U31" s="463">
        <f t="shared" si="8"/>
        <v>2.2390689293248522</v>
      </c>
      <c r="V31" s="465">
        <f t="shared" si="9"/>
        <v>5.0134296702679403E-2</v>
      </c>
      <c r="W31" s="463">
        <f t="shared" si="41"/>
        <v>5.0134296702679403E-2</v>
      </c>
      <c r="X31" s="463">
        <f t="shared" si="10"/>
        <v>2.2390689293248522</v>
      </c>
      <c r="Y31" s="463">
        <f t="shared" si="11"/>
        <v>9.0241734064822922E-3</v>
      </c>
      <c r="Z31" s="463">
        <f t="shared" si="12"/>
        <v>0.28540985519274492</v>
      </c>
      <c r="AA31" s="463">
        <f t="shared" si="13"/>
        <v>0</v>
      </c>
      <c r="AB31" s="463">
        <f t="shared" si="14"/>
        <v>2.1647503999999988E-2</v>
      </c>
      <c r="AC31" s="463">
        <f t="shared" si="15"/>
        <v>0.31665303898592695</v>
      </c>
      <c r="AD31" s="463">
        <f t="shared" si="16"/>
        <v>2.2738657240897995</v>
      </c>
      <c r="AE31" s="463">
        <f t="shared" si="17"/>
        <v>9.3068375961427707E-3</v>
      </c>
      <c r="AF31" s="463">
        <f t="shared" si="18"/>
        <v>7.4447503999999998E-2</v>
      </c>
      <c r="AG31" s="463">
        <f t="shared" si="19"/>
        <v>8.391052993107774E-2</v>
      </c>
      <c r="AH31" s="463">
        <f t="shared" si="20"/>
        <v>0</v>
      </c>
      <c r="AI31">
        <f t="shared" si="21"/>
        <v>0</v>
      </c>
      <c r="AJ31" s="464">
        <f t="shared" si="22"/>
        <v>0.43192871999999999</v>
      </c>
      <c r="AK31">
        <f t="shared" si="23"/>
        <v>7.2000000000000008E-2</v>
      </c>
      <c r="AL31" s="464">
        <f t="shared" si="24"/>
        <v>0.98399999999999999</v>
      </c>
      <c r="AM31" s="464">
        <f t="shared" si="25"/>
        <v>0.82265384615384629</v>
      </c>
      <c r="AN31" s="464">
        <f t="shared" si="42"/>
        <v>1.056</v>
      </c>
      <c r="AO31" s="464">
        <f t="shared" si="26"/>
        <v>2.5057860174735818</v>
      </c>
      <c r="AP31" s="100">
        <f t="shared" si="27"/>
        <v>25.960000000000004</v>
      </c>
      <c r="AQ31" s="10">
        <f t="shared" si="43"/>
        <v>0.91197200681774893</v>
      </c>
      <c r="AR31" s="77">
        <f t="shared" si="28"/>
        <v>15.832651949296347</v>
      </c>
      <c r="AS31" s="77">
        <f t="shared" si="44"/>
        <v>4.195526496553887</v>
      </c>
      <c r="AT31" s="10"/>
      <c r="AU31">
        <f t="shared" si="45"/>
        <v>91.197200681774888</v>
      </c>
      <c r="BD31">
        <v>9.998704</v>
      </c>
      <c r="BE31">
        <v>0.36549999999999999</v>
      </c>
      <c r="BF31">
        <v>5.123094</v>
      </c>
      <c r="BG31">
        <v>85.419022273213088</v>
      </c>
      <c r="BH31">
        <v>319.63300692320018</v>
      </c>
    </row>
    <row r="32" spans="1:69" x14ac:dyDescent="0.2">
      <c r="A32" s="37" t="s">
        <v>133</v>
      </c>
      <c r="B32" s="28" t="s">
        <v>201</v>
      </c>
      <c r="C32" s="37" t="s">
        <v>148</v>
      </c>
      <c r="D32" s="30" t="s">
        <v>188</v>
      </c>
      <c r="E32" s="53"/>
      <c r="G32">
        <v>23</v>
      </c>
      <c r="H32">
        <f t="shared" si="0"/>
        <v>2.3000000000000003</v>
      </c>
      <c r="I32" s="463">
        <f t="shared" si="1"/>
        <v>0.49231833333333336</v>
      </c>
      <c r="J32" s="464">
        <f t="shared" si="2"/>
        <v>8.0083782222222215</v>
      </c>
      <c r="K32" s="464">
        <f t="shared" si="31"/>
        <v>6.3041891111111106</v>
      </c>
      <c r="L32" s="464">
        <f t="shared" si="32"/>
        <v>-1.7041891111111105</v>
      </c>
      <c r="M32" s="77">
        <f t="shared" si="3"/>
        <v>24</v>
      </c>
      <c r="N32" s="463">
        <f t="shared" si="4"/>
        <v>3.2610596660973452</v>
      </c>
      <c r="O32" s="463">
        <f t="shared" si="5"/>
        <v>5.3399702600872317E-2</v>
      </c>
      <c r="P32">
        <f t="shared" si="6"/>
        <v>0.5</v>
      </c>
      <c r="Q32" s="463">
        <f t="shared" si="34"/>
        <v>0.55339970260087235</v>
      </c>
      <c r="R32" s="9">
        <f t="shared" si="39"/>
        <v>2.3118196611861683</v>
      </c>
      <c r="S32" s="9">
        <f t="shared" si="7"/>
        <v>1.6033530437540789E-2</v>
      </c>
      <c r="T32" s="9">
        <f t="shared" si="40"/>
        <v>1.6033530437540789E-2</v>
      </c>
      <c r="U32" s="463">
        <f t="shared" si="8"/>
        <v>2.2881355534189369</v>
      </c>
      <c r="V32" s="465">
        <f t="shared" si="9"/>
        <v>5.2355643108197854E-2</v>
      </c>
      <c r="W32" s="463">
        <f t="shared" si="41"/>
        <v>5.2355643108197854E-2</v>
      </c>
      <c r="X32" s="463">
        <f t="shared" si="10"/>
        <v>2.2881355534189369</v>
      </c>
      <c r="Y32" s="463">
        <f t="shared" si="11"/>
        <v>9.4240157594756135E-3</v>
      </c>
      <c r="Z32" s="463">
        <f t="shared" si="12"/>
        <v>0.29002090406844022</v>
      </c>
      <c r="AA32" s="463">
        <f t="shared" si="13"/>
        <v>0</v>
      </c>
      <c r="AB32" s="463">
        <f t="shared" si="14"/>
        <v>2.0450269333333326E-2</v>
      </c>
      <c r="AC32" s="463">
        <f t="shared" si="15"/>
        <v>0.32049926719022936</v>
      </c>
      <c r="AD32" s="463">
        <f t="shared" si="16"/>
        <v>2.3235631764656506</v>
      </c>
      <c r="AE32" s="463">
        <f t="shared" si="17"/>
        <v>9.7181025030488588E-3</v>
      </c>
      <c r="AF32" s="463">
        <f t="shared" si="18"/>
        <v>7.5650269333333325E-2</v>
      </c>
      <c r="AG32" s="463">
        <f t="shared" si="19"/>
        <v>8.5534618674750276E-2</v>
      </c>
      <c r="AH32" s="463">
        <f t="shared" si="20"/>
        <v>0</v>
      </c>
      <c r="AI32">
        <f t="shared" si="21"/>
        <v>0</v>
      </c>
      <c r="AJ32" s="464">
        <f t="shared" si="22"/>
        <v>0.43192547999999997</v>
      </c>
      <c r="AK32">
        <f t="shared" si="23"/>
        <v>7.2000000000000008E-2</v>
      </c>
      <c r="AL32" s="464">
        <f t="shared" si="24"/>
        <v>0.98399999999999999</v>
      </c>
      <c r="AM32" s="464">
        <f t="shared" si="25"/>
        <v>0.82265384615384629</v>
      </c>
      <c r="AN32" s="464">
        <f t="shared" si="42"/>
        <v>1.056</v>
      </c>
      <c r="AO32" s="464">
        <f t="shared" si="26"/>
        <v>2.5157482420115906</v>
      </c>
      <c r="AP32" s="100">
        <f t="shared" si="27"/>
        <v>27.140000000000004</v>
      </c>
      <c r="AQ32" s="10">
        <f t="shared" si="43"/>
        <v>0.9151682762653186</v>
      </c>
      <c r="AR32" s="77">
        <f t="shared" si="28"/>
        <v>16.024963359511467</v>
      </c>
      <c r="AS32" s="77">
        <f t="shared" si="44"/>
        <v>4.2767309337375137</v>
      </c>
      <c r="AT32" s="10"/>
      <c r="AU32">
        <f t="shared" si="45"/>
        <v>91.516827626531864</v>
      </c>
      <c r="BD32">
        <v>9.9987290000000009</v>
      </c>
      <c r="BE32">
        <v>0.49059999999999998</v>
      </c>
      <c r="BF32">
        <v>5.1238169999999998</v>
      </c>
      <c r="BG32">
        <v>88.551850267052174</v>
      </c>
      <c r="BH32">
        <v>324.98153184230057</v>
      </c>
    </row>
    <row r="33" spans="1:60" x14ac:dyDescent="0.2">
      <c r="A33" s="35" t="s">
        <v>133</v>
      </c>
      <c r="B33" s="5">
        <v>20</v>
      </c>
      <c r="C33" s="473" t="s">
        <v>147</v>
      </c>
      <c r="D33" s="34" t="s">
        <v>179</v>
      </c>
      <c r="E33" s="53"/>
      <c r="G33">
        <v>24</v>
      </c>
      <c r="H33">
        <f t="shared" si="0"/>
        <v>2.4</v>
      </c>
      <c r="I33" s="463">
        <f t="shared" si="1"/>
        <v>0.49234666666666671</v>
      </c>
      <c r="J33" s="464">
        <f t="shared" si="2"/>
        <v>8.0088391111111115</v>
      </c>
      <c r="K33" s="464">
        <f t="shared" si="31"/>
        <v>6.4044195555555561</v>
      </c>
      <c r="L33" s="464">
        <f t="shared" si="32"/>
        <v>-1.6044195555555558</v>
      </c>
      <c r="M33" s="77">
        <f t="shared" si="3"/>
        <v>24</v>
      </c>
      <c r="N33" s="463">
        <f t="shared" si="4"/>
        <v>3.3324353445548778</v>
      </c>
      <c r="O33" s="463">
        <f t="shared" si="5"/>
        <v>5.5773374754787226E-2</v>
      </c>
      <c r="P33">
        <f t="shared" si="6"/>
        <v>0.5</v>
      </c>
      <c r="Q33" s="463">
        <f t="shared" si="34"/>
        <v>0.55577337475478727</v>
      </c>
      <c r="R33" s="9">
        <f t="shared" si="39"/>
        <v>2.3119527083482017</v>
      </c>
      <c r="S33" s="9">
        <f t="shared" si="7"/>
        <v>1.6035375976915754E-2</v>
      </c>
      <c r="T33" s="9">
        <f t="shared" si="40"/>
        <v>1.6035375976915754E-2</v>
      </c>
      <c r="U33" s="463">
        <f t="shared" si="8"/>
        <v>2.3382838657857046</v>
      </c>
      <c r="V33" s="465">
        <f t="shared" si="9"/>
        <v>5.4675714369937387E-2</v>
      </c>
      <c r="W33" s="463">
        <f t="shared" si="41"/>
        <v>5.4675714369937387E-2</v>
      </c>
      <c r="X33" s="463">
        <f t="shared" si="10"/>
        <v>2.3382838657857046</v>
      </c>
      <c r="Y33" s="463">
        <f t="shared" si="11"/>
        <v>9.8416285865887288E-3</v>
      </c>
      <c r="Z33" s="463">
        <f t="shared" si="12"/>
        <v>0.29463195294413552</v>
      </c>
      <c r="AA33" s="463">
        <f t="shared" si="13"/>
        <v>0</v>
      </c>
      <c r="AB33" s="463">
        <f t="shared" si="14"/>
        <v>1.9253034666666669E-2</v>
      </c>
      <c r="AC33" s="463">
        <f t="shared" si="15"/>
        <v>0.3243650723110203</v>
      </c>
      <c r="AD33" s="463">
        <f t="shared" si="16"/>
        <v>2.3743533622114561</v>
      </c>
      <c r="AE33" s="463">
        <f t="shared" si="17"/>
        <v>1.0147596999560722E-2</v>
      </c>
      <c r="AF33" s="463">
        <f t="shared" si="18"/>
        <v>7.6853034666666681E-2</v>
      </c>
      <c r="AG33" s="463">
        <f t="shared" si="19"/>
        <v>8.7177560215922628E-2</v>
      </c>
      <c r="AH33" s="463">
        <f t="shared" si="20"/>
        <v>0</v>
      </c>
      <c r="AI33">
        <f t="shared" si="21"/>
        <v>0</v>
      </c>
      <c r="AJ33" s="464">
        <f t="shared" si="22"/>
        <v>0.43192223999999996</v>
      </c>
      <c r="AK33">
        <f t="shared" si="23"/>
        <v>7.2000000000000008E-2</v>
      </c>
      <c r="AL33" s="464">
        <f t="shared" si="24"/>
        <v>0.98399999999999999</v>
      </c>
      <c r="AM33" s="464">
        <f t="shared" si="25"/>
        <v>0.82265384615384629</v>
      </c>
      <c r="AN33" s="464">
        <f t="shared" si="42"/>
        <v>1.056</v>
      </c>
      <c r="AO33" s="464">
        <f t="shared" si="26"/>
        <v>2.5259493376285835</v>
      </c>
      <c r="AP33" s="100">
        <f t="shared" si="27"/>
        <v>28.32</v>
      </c>
      <c r="AQ33" s="10">
        <f t="shared" si="43"/>
        <v>0.91811082518549014</v>
      </c>
      <c r="AR33" s="77">
        <f t="shared" si="28"/>
        <v>16.218253615551014</v>
      </c>
      <c r="AS33" s="77">
        <f t="shared" si="44"/>
        <v>4.3588780107961318</v>
      </c>
      <c r="AT33" s="10"/>
      <c r="AU33">
        <f t="shared" si="45"/>
        <v>91.811082518549014</v>
      </c>
      <c r="BD33">
        <v>9.9986420000000003</v>
      </c>
      <c r="BE33">
        <v>0.64549999999999996</v>
      </c>
      <c r="BF33">
        <v>5.1237300000000001</v>
      </c>
      <c r="BG33">
        <v>90.41893857119905</v>
      </c>
      <c r="BH33">
        <v>350.45848473660021</v>
      </c>
    </row>
    <row r="34" spans="1:60" x14ac:dyDescent="0.2">
      <c r="A34" s="37" t="s">
        <v>119</v>
      </c>
      <c r="B34" s="28" t="s">
        <v>201</v>
      </c>
      <c r="C34" s="37" t="s">
        <v>148</v>
      </c>
      <c r="D34" s="30" t="s">
        <v>188</v>
      </c>
      <c r="E34" s="53"/>
      <c r="G34">
        <v>25</v>
      </c>
      <c r="H34">
        <f t="shared" si="0"/>
        <v>2.5</v>
      </c>
      <c r="I34" s="463">
        <f t="shared" si="1"/>
        <v>0.49237500000000001</v>
      </c>
      <c r="J34" s="464">
        <f t="shared" si="2"/>
        <v>8.0092999999999996</v>
      </c>
      <c r="K34" s="464">
        <f t="shared" si="31"/>
        <v>6.5046499999999998</v>
      </c>
      <c r="L34" s="464">
        <f t="shared" si="32"/>
        <v>-1.5046499999999998</v>
      </c>
      <c r="M34" s="77">
        <f t="shared" si="3"/>
        <v>24</v>
      </c>
      <c r="N34" s="463">
        <f t="shared" si="4"/>
        <v>3.4052519056353723</v>
      </c>
      <c r="O34" s="463">
        <f t="shared" si="5"/>
        <v>5.8248878255786153E-2</v>
      </c>
      <c r="P34">
        <f t="shared" si="6"/>
        <v>0.5</v>
      </c>
      <c r="Q34" s="463">
        <f t="shared" si="34"/>
        <v>0.55824887825578617</v>
      </c>
      <c r="R34" s="9">
        <f t="shared" si="39"/>
        <v>2.312085755510235</v>
      </c>
      <c r="S34" s="9">
        <f t="shared" si="7"/>
        <v>1.60372216225E-2</v>
      </c>
      <c r="T34" s="9">
        <f t="shared" si="40"/>
        <v>1.60372216225E-2</v>
      </c>
      <c r="U34" s="463">
        <f t="shared" si="8"/>
        <v>2.3894461175747015</v>
      </c>
      <c r="V34" s="465">
        <f t="shared" si="9"/>
        <v>5.7094527487928141E-2</v>
      </c>
      <c r="W34" s="463">
        <f t="shared" si="41"/>
        <v>5.7094527487928141E-2</v>
      </c>
      <c r="X34" s="463">
        <f t="shared" si="10"/>
        <v>2.3894461175747015</v>
      </c>
      <c r="Y34" s="463">
        <f t="shared" si="11"/>
        <v>1.0277014947827066E-2</v>
      </c>
      <c r="Z34" s="463">
        <f t="shared" si="12"/>
        <v>0.29924300181983082</v>
      </c>
      <c r="AA34" s="463">
        <f t="shared" si="13"/>
        <v>0</v>
      </c>
      <c r="AB34" s="463">
        <f t="shared" si="14"/>
        <v>1.8055799999999997E-2</v>
      </c>
      <c r="AC34" s="463">
        <f t="shared" si="15"/>
        <v>0.32825050383456583</v>
      </c>
      <c r="AD34" s="463">
        <f t="shared" si="16"/>
        <v>2.4261673050390655</v>
      </c>
      <c r="AE34" s="463">
        <f t="shared" si="17"/>
        <v>1.0595318025672941E-2</v>
      </c>
      <c r="AF34" s="463">
        <f t="shared" si="18"/>
        <v>7.8055799999999995E-2</v>
      </c>
      <c r="AG34" s="463">
        <f t="shared" si="19"/>
        <v>8.8839374310477198E-2</v>
      </c>
      <c r="AH34" s="463">
        <f t="shared" si="20"/>
        <v>0</v>
      </c>
      <c r="AI34">
        <f t="shared" si="21"/>
        <v>0</v>
      </c>
      <c r="AJ34" s="464">
        <f t="shared" si="22"/>
        <v>0.43191899999999994</v>
      </c>
      <c r="AK34">
        <f t="shared" si="23"/>
        <v>7.2000000000000008E-2</v>
      </c>
      <c r="AL34" s="464">
        <f t="shared" si="24"/>
        <v>0.98399999999999999</v>
      </c>
      <c r="AM34" s="464">
        <f t="shared" si="25"/>
        <v>0.82265384615384629</v>
      </c>
      <c r="AN34" s="464">
        <f t="shared" si="42"/>
        <v>1.056</v>
      </c>
      <c r="AO34" s="464">
        <f t="shared" si="26"/>
        <v>2.5363895055112575</v>
      </c>
      <c r="AP34" s="100">
        <f t="shared" si="27"/>
        <v>29.5</v>
      </c>
      <c r="AQ34" s="10">
        <f t="shared" si="43"/>
        <v>0.92082786029696262</v>
      </c>
      <c r="AR34" s="77">
        <f t="shared" si="28"/>
        <v>16.412525191728292</v>
      </c>
      <c r="AS34" s="77">
        <f t="shared" si="44"/>
        <v>4.4419687155238599</v>
      </c>
      <c r="AT34" s="10"/>
      <c r="AU34">
        <f t="shared" si="45"/>
        <v>92.082786029696265</v>
      </c>
      <c r="BD34">
        <v>9.9986049999999995</v>
      </c>
      <c r="BE34">
        <v>0.83240000000000003</v>
      </c>
      <c r="BF34">
        <v>5.1231559999999998</v>
      </c>
      <c r="BG34">
        <v>91.678946361105133</v>
      </c>
      <c r="BH34">
        <v>387.05996035199956</v>
      </c>
    </row>
    <row r="35" spans="1:60" x14ac:dyDescent="0.2">
      <c r="A35" s="35" t="s">
        <v>249</v>
      </c>
      <c r="B35" s="5">
        <f>Iq*1000</f>
        <v>3</v>
      </c>
      <c r="C35" s="473" t="s">
        <v>135</v>
      </c>
      <c r="D35" s="34" t="s">
        <v>259</v>
      </c>
      <c r="G35">
        <v>26</v>
      </c>
      <c r="H35">
        <f t="shared" si="0"/>
        <v>2.6</v>
      </c>
      <c r="I35" s="463">
        <f t="shared" si="1"/>
        <v>0.49240333333333336</v>
      </c>
      <c r="J35" s="464">
        <f t="shared" si="2"/>
        <v>8.0097608888888896</v>
      </c>
      <c r="K35" s="464">
        <f t="shared" si="31"/>
        <v>6.6048804444444453</v>
      </c>
      <c r="L35" s="464">
        <f t="shared" si="32"/>
        <v>-1.4048804444444447</v>
      </c>
      <c r="M35" s="77">
        <f t="shared" si="3"/>
        <v>24</v>
      </c>
      <c r="N35" s="463">
        <f t="shared" si="4"/>
        <v>3.4794188870314509</v>
      </c>
      <c r="O35" s="463">
        <f t="shared" si="5"/>
        <v>6.0826333048907166E-2</v>
      </c>
      <c r="P35">
        <f t="shared" si="6"/>
        <v>0.5</v>
      </c>
      <c r="Q35" s="463">
        <f t="shared" si="34"/>
        <v>0.56082633304890717</v>
      </c>
      <c r="R35" s="9">
        <f t="shared" si="39"/>
        <v>2.3122188026722683</v>
      </c>
      <c r="S35" s="9">
        <f t="shared" si="7"/>
        <v>1.6039067374293534E-2</v>
      </c>
      <c r="T35" s="9">
        <f t="shared" si="40"/>
        <v>1.6039067374293534E-2</v>
      </c>
      <c r="U35" s="463">
        <f t="shared" si="8"/>
        <v>2.4415589172125292</v>
      </c>
      <c r="V35" s="465">
        <f t="shared" si="9"/>
        <v>5.9612099462200183E-2</v>
      </c>
      <c r="W35" s="463">
        <f t="shared" si="41"/>
        <v>5.9612099462200183E-2</v>
      </c>
      <c r="X35" s="463">
        <f t="shared" si="10"/>
        <v>2.4415589172125292</v>
      </c>
      <c r="Y35" s="463">
        <f t="shared" si="11"/>
        <v>1.0730177903196032E-2</v>
      </c>
      <c r="Z35" s="463">
        <f t="shared" si="12"/>
        <v>0.30385405069552607</v>
      </c>
      <c r="AA35" s="463">
        <f t="shared" si="13"/>
        <v>0</v>
      </c>
      <c r="AB35" s="463">
        <f t="shared" si="14"/>
        <v>1.6858565333333339E-2</v>
      </c>
      <c r="AC35" s="463">
        <f t="shared" si="15"/>
        <v>0.33215561169305774</v>
      </c>
      <c r="AD35" s="463">
        <f t="shared" si="16"/>
        <v>2.478940468266869</v>
      </c>
      <c r="AE35" s="463">
        <f t="shared" si="17"/>
        <v>1.1061262521380094E-2</v>
      </c>
      <c r="AF35" s="463">
        <f t="shared" si="18"/>
        <v>7.925856533333335E-2</v>
      </c>
      <c r="AG35" s="463">
        <f t="shared" si="19"/>
        <v>9.0520081130882515E-2</v>
      </c>
      <c r="AH35" s="463">
        <f t="shared" si="20"/>
        <v>0</v>
      </c>
      <c r="AI35">
        <f t="shared" si="21"/>
        <v>0</v>
      </c>
      <c r="AJ35" s="464">
        <f t="shared" si="22"/>
        <v>0.43191575999999998</v>
      </c>
      <c r="AK35">
        <f t="shared" si="23"/>
        <v>7.2000000000000008E-2</v>
      </c>
      <c r="AL35" s="464">
        <f t="shared" si="24"/>
        <v>0.98399999999999999</v>
      </c>
      <c r="AM35" s="464">
        <f t="shared" si="25"/>
        <v>0.82265384615384629</v>
      </c>
      <c r="AN35" s="464">
        <f t="shared" si="42"/>
        <v>1.056</v>
      </c>
      <c r="AO35" s="464">
        <f t="shared" si="26"/>
        <v>2.5470689527093411</v>
      </c>
      <c r="AP35" s="100">
        <f t="shared" si="27"/>
        <v>30.680000000000003</v>
      </c>
      <c r="AQ35" s="10">
        <f t="shared" si="43"/>
        <v>0.92334355593222872</v>
      </c>
      <c r="AR35" s="77">
        <f t="shared" si="28"/>
        <v>16.607780584652886</v>
      </c>
      <c r="AS35" s="77">
        <f t="shared" si="44"/>
        <v>4.5260040565441262</v>
      </c>
      <c r="AT35" s="10"/>
      <c r="AU35">
        <f t="shared" si="45"/>
        <v>92.334355593222867</v>
      </c>
      <c r="BD35">
        <v>9.9986049999999995</v>
      </c>
      <c r="BE35">
        <v>1.0528999999999999</v>
      </c>
      <c r="BF35">
        <v>5.1218219999999999</v>
      </c>
      <c r="BG35">
        <v>92.889938966292178</v>
      </c>
      <c r="BH35">
        <v>412.77762981700039</v>
      </c>
    </row>
    <row r="36" spans="1:60" x14ac:dyDescent="0.2">
      <c r="A36" s="37" t="s">
        <v>129</v>
      </c>
      <c r="B36" s="28" t="s">
        <v>201</v>
      </c>
      <c r="C36" s="37" t="s">
        <v>148</v>
      </c>
      <c r="D36" s="30" t="s">
        <v>188</v>
      </c>
      <c r="G36">
        <v>27</v>
      </c>
      <c r="H36">
        <f t="shared" si="0"/>
        <v>2.7</v>
      </c>
      <c r="I36" s="463">
        <f t="shared" si="1"/>
        <v>0.49243166666666677</v>
      </c>
      <c r="J36" s="464">
        <f t="shared" si="2"/>
        <v>8.0102217777777778</v>
      </c>
      <c r="K36" s="464">
        <f t="shared" si="31"/>
        <v>6.7051108888888891</v>
      </c>
      <c r="L36" s="464">
        <f t="shared" si="32"/>
        <v>-1.3051108888888887</v>
      </c>
      <c r="M36" s="77">
        <f t="shared" si="3"/>
        <v>24</v>
      </c>
      <c r="N36" s="463">
        <f t="shared" si="4"/>
        <v>3.5548517658873084</v>
      </c>
      <c r="O36" s="463">
        <f t="shared" si="5"/>
        <v>6.3505864094283299E-2</v>
      </c>
      <c r="P36">
        <f t="shared" si="6"/>
        <v>0.5</v>
      </c>
      <c r="Q36" s="463">
        <f t="shared" si="34"/>
        <v>0.56350586409428327</v>
      </c>
      <c r="R36" s="9">
        <f t="shared" si="39"/>
        <v>2.3123518498343016</v>
      </c>
      <c r="S36" s="9">
        <f t="shared" si="7"/>
        <v>1.6040913232296349E-2</v>
      </c>
      <c r="T36" s="9">
        <f t="shared" si="40"/>
        <v>1.6040913232296349E-2</v>
      </c>
      <c r="U36" s="463">
        <f t="shared" si="8"/>
        <v>2.4945630337352394</v>
      </c>
      <c r="V36" s="465">
        <f t="shared" si="9"/>
        <v>6.2228447292783609E-2</v>
      </c>
      <c r="W36" s="463">
        <f t="shared" si="41"/>
        <v>6.2228447292783609E-2</v>
      </c>
      <c r="X36" s="463">
        <f t="shared" si="10"/>
        <v>2.4945630337352394</v>
      </c>
      <c r="Y36" s="463">
        <f t="shared" si="11"/>
        <v>1.1201120512701048E-2</v>
      </c>
      <c r="Z36" s="463">
        <f t="shared" si="12"/>
        <v>0.30846509957122137</v>
      </c>
      <c r="AA36" s="463">
        <f t="shared" si="13"/>
        <v>0</v>
      </c>
      <c r="AB36" s="463">
        <f t="shared" si="14"/>
        <v>1.5661330666666664E-2</v>
      </c>
      <c r="AC36" s="463">
        <f t="shared" si="15"/>
        <v>0.33608044626670819</v>
      </c>
      <c r="AD36" s="463">
        <f t="shared" si="16"/>
        <v>2.5326125538964215</v>
      </c>
      <c r="AE36" s="463">
        <f t="shared" si="17"/>
        <v>1.1545427426676757E-2</v>
      </c>
      <c r="AF36" s="463">
        <f t="shared" si="18"/>
        <v>8.0461330666666664E-2</v>
      </c>
      <c r="AG36" s="463">
        <f t="shared" si="19"/>
        <v>9.221970126700102E-2</v>
      </c>
      <c r="AH36" s="463">
        <f t="shared" si="20"/>
        <v>0</v>
      </c>
      <c r="AI36">
        <f t="shared" si="21"/>
        <v>0</v>
      </c>
      <c r="AJ36" s="464">
        <f t="shared" si="22"/>
        <v>0.43191251999999997</v>
      </c>
      <c r="AK36">
        <f t="shared" si="23"/>
        <v>7.2000000000000008E-2</v>
      </c>
      <c r="AL36" s="464">
        <f t="shared" si="24"/>
        <v>0.98399999999999999</v>
      </c>
      <c r="AM36" s="464">
        <f t="shared" si="25"/>
        <v>0.82265384615384629</v>
      </c>
      <c r="AN36" s="464">
        <f t="shared" si="42"/>
        <v>1.056</v>
      </c>
      <c r="AO36" s="464">
        <f t="shared" si="26"/>
        <v>2.5579878921530725</v>
      </c>
      <c r="AP36" s="100">
        <f t="shared" si="27"/>
        <v>31.860000000000003</v>
      </c>
      <c r="AQ36" s="10">
        <f t="shared" si="43"/>
        <v>0.92567874972330189</v>
      </c>
      <c r="AR36" s="77">
        <f t="shared" si="28"/>
        <v>16.804022313335409</v>
      </c>
      <c r="AS36" s="77">
        <f t="shared" si="44"/>
        <v>4.6109850633500509</v>
      </c>
      <c r="AT36" s="10"/>
      <c r="AU36">
        <f t="shared" si="45"/>
        <v>92.567874972330188</v>
      </c>
      <c r="BD36">
        <v>9.9986669999999993</v>
      </c>
      <c r="BE36">
        <v>1.3092999999999999</v>
      </c>
      <c r="BF36">
        <v>5.1195649999999997</v>
      </c>
      <c r="BG36">
        <v>93.690364214923264</v>
      </c>
      <c r="BH36">
        <v>451.42072788069993</v>
      </c>
    </row>
    <row r="37" spans="1:60" x14ac:dyDescent="0.2">
      <c r="A37" s="36" t="s">
        <v>142</v>
      </c>
      <c r="B37" s="5">
        <f>RdsonTop*1000</f>
        <v>1.8</v>
      </c>
      <c r="C37" s="473" t="s">
        <v>622</v>
      </c>
      <c r="D37" s="34" t="s">
        <v>194</v>
      </c>
      <c r="G37">
        <v>28</v>
      </c>
      <c r="H37">
        <f t="shared" si="0"/>
        <v>2.8000000000000003</v>
      </c>
      <c r="I37" s="463">
        <f t="shared" si="1"/>
        <v>0.49245999999999995</v>
      </c>
      <c r="J37" s="464">
        <f t="shared" si="2"/>
        <v>8.010682666666666</v>
      </c>
      <c r="K37" s="464">
        <f t="shared" si="31"/>
        <v>6.8053413333333328</v>
      </c>
      <c r="L37" s="464">
        <f t="shared" si="32"/>
        <v>-1.2053413333333327</v>
      </c>
      <c r="M37" s="77">
        <f t="shared" si="3"/>
        <v>24</v>
      </c>
      <c r="N37" s="463">
        <f t="shared" si="4"/>
        <v>3.631471657446351</v>
      </c>
      <c r="O37" s="463">
        <f t="shared" si="5"/>
        <v>6.6287601382341244E-2</v>
      </c>
      <c r="P37">
        <f t="shared" si="6"/>
        <v>0.5</v>
      </c>
      <c r="Q37" s="463">
        <f t="shared" si="34"/>
        <v>0.56628760138234124</v>
      </c>
      <c r="R37" s="9">
        <f t="shared" si="39"/>
        <v>2.3124848969963345</v>
      </c>
      <c r="S37" s="9">
        <f t="shared" si="7"/>
        <v>1.6042759196508445E-2</v>
      </c>
      <c r="T37" s="9">
        <f t="shared" si="40"/>
        <v>1.6042759196508445E-2</v>
      </c>
      <c r="U37" s="463">
        <f t="shared" si="8"/>
        <v>2.5484031859128669</v>
      </c>
      <c r="V37" s="465">
        <f t="shared" si="9"/>
        <v>6.4943587979708492E-2</v>
      </c>
      <c r="W37" s="463">
        <f t="shared" si="41"/>
        <v>6.4943587979708492E-2</v>
      </c>
      <c r="X37" s="463">
        <f t="shared" si="10"/>
        <v>2.5484031859128669</v>
      </c>
      <c r="Y37" s="463">
        <f t="shared" si="11"/>
        <v>1.1689845836347528E-2</v>
      </c>
      <c r="Z37" s="463">
        <f t="shared" si="12"/>
        <v>0.31307614844691667</v>
      </c>
      <c r="AA37" s="463">
        <f t="shared" si="13"/>
        <v>0</v>
      </c>
      <c r="AB37" s="463">
        <f t="shared" si="14"/>
        <v>1.4464095999999992E-2</v>
      </c>
      <c r="AC37" s="463">
        <f t="shared" si="15"/>
        <v>0.34002505838586933</v>
      </c>
      <c r="AD37" s="463">
        <f t="shared" si="16"/>
        <v>2.587127287333443</v>
      </c>
      <c r="AE37" s="463">
        <f t="shared" si="17"/>
        <v>1.2047809681557537E-2</v>
      </c>
      <c r="AF37" s="463">
        <f t="shared" si="18"/>
        <v>8.1664095999999992E-2</v>
      </c>
      <c r="AG37" s="463">
        <f t="shared" si="19"/>
        <v>9.3938255726920619E-2</v>
      </c>
      <c r="AH37" s="463">
        <f t="shared" si="20"/>
        <v>0</v>
      </c>
      <c r="AI37">
        <f t="shared" si="21"/>
        <v>0</v>
      </c>
      <c r="AJ37" s="464">
        <f t="shared" si="22"/>
        <v>0.43190927999999995</v>
      </c>
      <c r="AK37">
        <f t="shared" si="23"/>
        <v>7.2000000000000008E-2</v>
      </c>
      <c r="AL37" s="464">
        <f t="shared" si="24"/>
        <v>0.98399999999999999</v>
      </c>
      <c r="AM37" s="464">
        <f t="shared" si="25"/>
        <v>0.82265384615384629</v>
      </c>
      <c r="AN37" s="464">
        <f t="shared" si="42"/>
        <v>1.056</v>
      </c>
      <c r="AO37" s="464">
        <f t="shared" si="26"/>
        <v>2.5691465426713478</v>
      </c>
      <c r="AP37" s="100">
        <f t="shared" si="27"/>
        <v>33.040000000000006</v>
      </c>
      <c r="AQ37" s="10">
        <f t="shared" si="43"/>
        <v>0.92785149906379605</v>
      </c>
      <c r="AR37" s="77">
        <f t="shared" si="28"/>
        <v>17.001252919293467</v>
      </c>
      <c r="AS37" s="77">
        <f t="shared" si="44"/>
        <v>4.6969127863460312</v>
      </c>
      <c r="AT37" s="10"/>
      <c r="AU37">
        <f t="shared" si="45"/>
        <v>92.785149906379601</v>
      </c>
      <c r="BD37">
        <v>9.9985429999999997</v>
      </c>
      <c r="BE37">
        <v>1.6020000000000001</v>
      </c>
      <c r="BF37">
        <v>5.1182809999999996</v>
      </c>
      <c r="BG37">
        <v>93.864473327748414</v>
      </c>
      <c r="BH37">
        <v>535.96589716749952</v>
      </c>
    </row>
    <row r="38" spans="1:60" x14ac:dyDescent="0.2">
      <c r="A38" s="35" t="s">
        <v>152</v>
      </c>
      <c r="B38" s="5">
        <v>4500</v>
      </c>
      <c r="C38" s="473" t="s">
        <v>623</v>
      </c>
      <c r="D38" s="34" t="s">
        <v>193</v>
      </c>
      <c r="G38">
        <v>29</v>
      </c>
      <c r="H38">
        <f t="shared" si="0"/>
        <v>2.9</v>
      </c>
      <c r="I38" s="463">
        <f t="shared" si="1"/>
        <v>0.49248833333333336</v>
      </c>
      <c r="J38" s="464">
        <f t="shared" si="2"/>
        <v>8.0111435555555559</v>
      </c>
      <c r="K38" s="464">
        <f t="shared" si="31"/>
        <v>6.9055717777777783</v>
      </c>
      <c r="L38" s="464">
        <f t="shared" si="32"/>
        <v>-1.105571777777778</v>
      </c>
      <c r="M38" s="77">
        <f t="shared" si="3"/>
        <v>24</v>
      </c>
      <c r="N38" s="463">
        <f t="shared" si="4"/>
        <v>3.7092050031837385</v>
      </c>
      <c r="O38" s="463">
        <f t="shared" si="5"/>
        <v>6.9171679949625892E-2</v>
      </c>
      <c r="P38">
        <f t="shared" si="6"/>
        <v>0.5</v>
      </c>
      <c r="Q38" s="463">
        <f t="shared" si="34"/>
        <v>0.56917167994962592</v>
      </c>
      <c r="R38" s="9">
        <f t="shared" si="39"/>
        <v>2.3126179441583679</v>
      </c>
      <c r="S38" s="9">
        <f t="shared" si="7"/>
        <v>1.6044605266929825E-2</v>
      </c>
      <c r="T38" s="9">
        <f t="shared" si="40"/>
        <v>1.6044605266929825E-2</v>
      </c>
      <c r="U38" s="463">
        <f t="shared" si="8"/>
        <v>2.6030278239581879</v>
      </c>
      <c r="V38" s="465">
        <f t="shared" si="9"/>
        <v>6.7757538523004993E-2</v>
      </c>
      <c r="W38" s="463">
        <f t="shared" si="41"/>
        <v>6.7757538523004993E-2</v>
      </c>
      <c r="X38" s="463">
        <f t="shared" si="10"/>
        <v>2.6030278239581879</v>
      </c>
      <c r="Y38" s="463">
        <f t="shared" si="11"/>
        <v>1.2196356934140897E-2</v>
      </c>
      <c r="Z38" s="463">
        <f t="shared" si="12"/>
        <v>0.31768719732261191</v>
      </c>
      <c r="AA38" s="463">
        <f t="shared" si="13"/>
        <v>0</v>
      </c>
      <c r="AB38" s="463">
        <f t="shared" si="14"/>
        <v>1.3266861333333334E-2</v>
      </c>
      <c r="AC38" s="463">
        <f t="shared" si="15"/>
        <v>0.34398949933317891</v>
      </c>
      <c r="AD38" s="463">
        <f t="shared" si="16"/>
        <v>2.6424321946537774</v>
      </c>
      <c r="AE38" s="463">
        <f t="shared" si="17"/>
        <v>1.2568406226017001E-2</v>
      </c>
      <c r="AF38" s="463">
        <f t="shared" si="18"/>
        <v>8.2866861333333347E-2</v>
      </c>
      <c r="AG38" s="463">
        <f t="shared" si="19"/>
        <v>9.5675765937808688E-2</v>
      </c>
      <c r="AH38" s="463">
        <f t="shared" si="20"/>
        <v>0</v>
      </c>
      <c r="AI38">
        <f t="shared" si="21"/>
        <v>0</v>
      </c>
      <c r="AJ38" s="464">
        <f t="shared" si="22"/>
        <v>0.43190603999999994</v>
      </c>
      <c r="AK38">
        <f t="shared" si="23"/>
        <v>7.2000000000000008E-2</v>
      </c>
      <c r="AL38" s="464">
        <f t="shared" si="24"/>
        <v>0.98399999999999999</v>
      </c>
      <c r="AM38" s="464">
        <f t="shared" si="25"/>
        <v>0.82265384615384629</v>
      </c>
      <c r="AN38" s="464">
        <f t="shared" si="42"/>
        <v>1.056</v>
      </c>
      <c r="AO38" s="464">
        <f t="shared" si="26"/>
        <v>2.5805451290105483</v>
      </c>
      <c r="AP38" s="100">
        <f t="shared" si="27"/>
        <v>34.22</v>
      </c>
      <c r="AQ38" s="10">
        <f t="shared" si="43"/>
        <v>0.92987752980386551</v>
      </c>
      <c r="AR38" s="77">
        <f t="shared" si="28"/>
        <v>17.199474966658947</v>
      </c>
      <c r="AS38" s="77">
        <f t="shared" si="44"/>
        <v>4.7837882968904344</v>
      </c>
      <c r="AT38" s="10"/>
      <c r="AU38">
        <f t="shared" si="45"/>
        <v>92.987752980386546</v>
      </c>
      <c r="BD38">
        <v>9.9985429999999997</v>
      </c>
      <c r="BE38">
        <v>1.9350000000000001</v>
      </c>
      <c r="BF38">
        <v>5.117146</v>
      </c>
      <c r="BG38">
        <v>94.224527198076927</v>
      </c>
      <c r="BH38">
        <v>606.92116405899924</v>
      </c>
    </row>
    <row r="39" spans="1:60" x14ac:dyDescent="0.2">
      <c r="A39" s="36" t="s">
        <v>141</v>
      </c>
      <c r="B39" s="5">
        <f>QgTop*1000000000</f>
        <v>41</v>
      </c>
      <c r="C39" s="473" t="s">
        <v>136</v>
      </c>
      <c r="D39" s="34" t="s">
        <v>180</v>
      </c>
      <c r="G39">
        <v>30</v>
      </c>
      <c r="H39">
        <f t="shared" si="0"/>
        <v>3</v>
      </c>
      <c r="I39" s="463">
        <f t="shared" si="1"/>
        <v>0.49251666666666671</v>
      </c>
      <c r="J39" s="464">
        <f t="shared" si="2"/>
        <v>8.0116044444444459</v>
      </c>
      <c r="K39" s="464">
        <f t="shared" si="31"/>
        <v>7.0058022222222229</v>
      </c>
      <c r="L39" s="464">
        <f t="shared" si="32"/>
        <v>-1.0058022222222229</v>
      </c>
      <c r="M39" s="77">
        <f t="shared" si="3"/>
        <v>24</v>
      </c>
      <c r="N39" s="463">
        <f t="shared" si="4"/>
        <v>3.7879832560154618</v>
      </c>
      <c r="O39" s="463">
        <f t="shared" si="5"/>
        <v>7.2158239895254689E-2</v>
      </c>
      <c r="P39">
        <f t="shared" si="6"/>
        <v>0.5</v>
      </c>
      <c r="Q39" s="463">
        <f t="shared" si="34"/>
        <v>0.57215823989525472</v>
      </c>
      <c r="R39" s="9">
        <f t="shared" si="39"/>
        <v>2.3127509913204016</v>
      </c>
      <c r="S39" s="9">
        <f t="shared" si="7"/>
        <v>1.6046451443560501E-2</v>
      </c>
      <c r="T39" s="9">
        <f t="shared" si="40"/>
        <v>1.6046451443560501E-2</v>
      </c>
      <c r="U39" s="463">
        <f t="shared" si="8"/>
        <v>2.6583889091459727</v>
      </c>
      <c r="V39" s="465">
        <f t="shared" si="9"/>
        <v>7.0670315922703147E-2</v>
      </c>
      <c r="W39" s="463">
        <f t="shared" si="41"/>
        <v>7.0670315922703147E-2</v>
      </c>
      <c r="X39" s="463">
        <f t="shared" si="10"/>
        <v>2.6583889091459727</v>
      </c>
      <c r="Y39" s="463">
        <f t="shared" si="11"/>
        <v>1.2720656866086566E-2</v>
      </c>
      <c r="Z39" s="463">
        <f t="shared" si="12"/>
        <v>0.32229824619830727</v>
      </c>
      <c r="AA39" s="463">
        <f t="shared" si="13"/>
        <v>0</v>
      </c>
      <c r="AB39" s="463">
        <f t="shared" si="14"/>
        <v>1.2069626666666675E-2</v>
      </c>
      <c r="AC39" s="463">
        <f t="shared" si="15"/>
        <v>0.34797382084573247</v>
      </c>
      <c r="AD39" s="463">
        <f t="shared" si="16"/>
        <v>2.6984783778239145</v>
      </c>
      <c r="AE39" s="463">
        <f t="shared" si="17"/>
        <v>1.3107214000049732E-2</v>
      </c>
      <c r="AF39" s="463">
        <f t="shared" si="18"/>
        <v>8.4069626666666675E-2</v>
      </c>
      <c r="AG39" s="463">
        <f t="shared" si="19"/>
        <v>9.7432253746789668E-2</v>
      </c>
      <c r="AH39" s="463">
        <f t="shared" si="20"/>
        <v>0</v>
      </c>
      <c r="AI39">
        <f t="shared" si="21"/>
        <v>0</v>
      </c>
      <c r="AJ39" s="464">
        <f t="shared" si="22"/>
        <v>0.43190279999999992</v>
      </c>
      <c r="AK39">
        <f t="shared" si="23"/>
        <v>7.2000000000000008E-2</v>
      </c>
      <c r="AL39" s="464">
        <f t="shared" si="24"/>
        <v>0.98399999999999999</v>
      </c>
      <c r="AM39" s="464">
        <f t="shared" si="25"/>
        <v>0.82265384615384629</v>
      </c>
      <c r="AN39" s="464">
        <f t="shared" si="42"/>
        <v>1.056</v>
      </c>
      <c r="AO39" s="464">
        <f t="shared" si="26"/>
        <v>2.5921838818540408</v>
      </c>
      <c r="AP39" s="100">
        <f t="shared" si="27"/>
        <v>35.400000000000006</v>
      </c>
      <c r="AQ39" s="10">
        <f t="shared" si="43"/>
        <v>0.93177060076580309</v>
      </c>
      <c r="AR39" s="77">
        <f t="shared" si="28"/>
        <v>17.398691042286625</v>
      </c>
      <c r="AS39" s="77">
        <f t="shared" si="44"/>
        <v>4.8716126873394838</v>
      </c>
      <c r="AT39" s="10"/>
      <c r="AU39">
        <f t="shared" si="45"/>
        <v>93.177060076580304</v>
      </c>
      <c r="BD39">
        <v>9.9985060000000008</v>
      </c>
      <c r="BE39">
        <v>2.31</v>
      </c>
      <c r="BF39">
        <v>5.1166349999999996</v>
      </c>
      <c r="BG39">
        <v>94.492663502717292</v>
      </c>
      <c r="BH39">
        <v>688.87413060200208</v>
      </c>
    </row>
    <row r="40" spans="1:60" x14ac:dyDescent="0.2">
      <c r="A40" s="36" t="s">
        <v>218</v>
      </c>
      <c r="B40" s="5">
        <f>QgdTop*1000000000</f>
        <v>6.7</v>
      </c>
      <c r="C40" s="473" t="s">
        <v>136</v>
      </c>
      <c r="D40" s="42" t="s">
        <v>219</v>
      </c>
      <c r="G40">
        <v>31</v>
      </c>
      <c r="H40">
        <f t="shared" si="0"/>
        <v>3.1</v>
      </c>
      <c r="I40" s="463">
        <f t="shared" si="1"/>
        <v>0.49254500000000001</v>
      </c>
      <c r="J40" s="464">
        <f t="shared" si="2"/>
        <v>8.012065333333334</v>
      </c>
      <c r="K40" s="464">
        <f t="shared" si="31"/>
        <v>7.1060326666666676</v>
      </c>
      <c r="L40" s="464">
        <f t="shared" si="32"/>
        <v>-0.90603266666666693</v>
      </c>
      <c r="M40" s="77">
        <f t="shared" si="3"/>
        <v>24</v>
      </c>
      <c r="N40" s="463">
        <f t="shared" si="4"/>
        <v>3.8677425684069018</v>
      </c>
      <c r="O40" s="463">
        <f t="shared" si="5"/>
        <v>7.5247426398005426E-2</v>
      </c>
      <c r="P40">
        <f t="shared" si="6"/>
        <v>0.5</v>
      </c>
      <c r="Q40" s="463">
        <f t="shared" si="34"/>
        <v>0.57524742639800541</v>
      </c>
      <c r="R40" s="9">
        <f t="shared" si="39"/>
        <v>2.3128840384824345</v>
      </c>
      <c r="S40" s="9">
        <f t="shared" si="7"/>
        <v>1.6048297726400446E-2</v>
      </c>
      <c r="T40" s="9">
        <f t="shared" si="40"/>
        <v>1.6048297726400446E-2</v>
      </c>
      <c r="U40" s="463">
        <f t="shared" si="8"/>
        <v>2.7144416954289703</v>
      </c>
      <c r="V40" s="465">
        <f t="shared" si="9"/>
        <v>7.3681937178833035E-2</v>
      </c>
      <c r="W40" s="463">
        <f t="shared" si="41"/>
        <v>7.3681937178833035E-2</v>
      </c>
      <c r="X40" s="463">
        <f t="shared" si="10"/>
        <v>2.7144416954289703</v>
      </c>
      <c r="Y40" s="463">
        <f t="shared" si="11"/>
        <v>1.3262748692189944E-2</v>
      </c>
      <c r="Z40" s="463">
        <f t="shared" si="12"/>
        <v>0.32690929507400251</v>
      </c>
      <c r="AA40" s="463">
        <f t="shared" si="13"/>
        <v>0</v>
      </c>
      <c r="AB40" s="463">
        <f t="shared" si="14"/>
        <v>1.0872392000000002E-2</v>
      </c>
      <c r="AC40" s="463">
        <f t="shared" si="15"/>
        <v>0.35197807511728074</v>
      </c>
      <c r="AD40" s="463">
        <f t="shared" si="16"/>
        <v>2.7552202920244895</v>
      </c>
      <c r="AE40" s="463">
        <f t="shared" si="17"/>
        <v>1.3664229943650323E-2</v>
      </c>
      <c r="AF40" s="463">
        <f t="shared" si="18"/>
        <v>8.5272392000000016E-2</v>
      </c>
      <c r="AG40" s="463">
        <f t="shared" si="19"/>
        <v>9.9207741421846005E-2</v>
      </c>
      <c r="AH40" s="463">
        <f t="shared" si="20"/>
        <v>0</v>
      </c>
      <c r="AI40">
        <f t="shared" si="21"/>
        <v>0</v>
      </c>
      <c r="AJ40" s="464">
        <f t="shared" si="22"/>
        <v>0.43189956000000002</v>
      </c>
      <c r="AK40">
        <f t="shared" si="23"/>
        <v>7.2000000000000008E-2</v>
      </c>
      <c r="AL40" s="464">
        <f t="shared" si="24"/>
        <v>0.98399999999999999</v>
      </c>
      <c r="AM40" s="464">
        <f t="shared" si="25"/>
        <v>0.82265384615384629</v>
      </c>
      <c r="AN40" s="464">
        <f t="shared" si="42"/>
        <v>1.056</v>
      </c>
      <c r="AO40" s="464">
        <f t="shared" si="26"/>
        <v>2.6040630378423657</v>
      </c>
      <c r="AP40" s="100">
        <f t="shared" si="27"/>
        <v>36.580000000000005</v>
      </c>
      <c r="AQ40" s="10">
        <f t="shared" si="43"/>
        <v>0.9335428019466111</v>
      </c>
      <c r="AR40" s="77">
        <f t="shared" si="28"/>
        <v>17.598903755864036</v>
      </c>
      <c r="AS40" s="77">
        <f t="shared" si="44"/>
        <v>4.9603870710922999</v>
      </c>
      <c r="AT40" s="10"/>
      <c r="AU40">
        <f t="shared" si="45"/>
        <v>93.354280194661115</v>
      </c>
      <c r="BD40">
        <v>9.9984319999999993</v>
      </c>
      <c r="BE40">
        <v>2.7269999999999999</v>
      </c>
      <c r="BF40">
        <v>5.115812</v>
      </c>
      <c r="BG40">
        <v>94.558770424517263</v>
      </c>
      <c r="BH40">
        <v>802.77694931200062</v>
      </c>
    </row>
    <row r="41" spans="1:60" x14ac:dyDescent="0.2">
      <c r="A41" s="36" t="s">
        <v>236</v>
      </c>
      <c r="B41" s="39">
        <f>QgsTop*1000000000</f>
        <v>4.9000000000000004</v>
      </c>
      <c r="C41" s="474" t="s">
        <v>136</v>
      </c>
      <c r="D41" s="473" t="s">
        <v>722</v>
      </c>
      <c r="G41">
        <v>32</v>
      </c>
      <c r="H41">
        <f t="shared" si="0"/>
        <v>3.2</v>
      </c>
      <c r="I41" s="463">
        <f t="shared" si="1"/>
        <v>0.49257333333333336</v>
      </c>
      <c r="J41" s="464">
        <f t="shared" si="2"/>
        <v>8.0125262222222222</v>
      </c>
      <c r="K41" s="464">
        <f t="shared" si="31"/>
        <v>7.2062631111111113</v>
      </c>
      <c r="L41" s="464">
        <f t="shared" si="32"/>
        <v>-0.80626311111111093</v>
      </c>
      <c r="M41" s="77">
        <f t="shared" si="3"/>
        <v>22.71163693270735</v>
      </c>
      <c r="N41" s="463">
        <f t="shared" ref="N41:N72" si="46">SQRT(H41^2+(J41^2)/12)</f>
        <v>3.9484234877332027</v>
      </c>
      <c r="O41" s="463">
        <f t="shared" si="5"/>
        <v>7.8439389734041354E-2</v>
      </c>
      <c r="P41">
        <f t="shared" si="6"/>
        <v>0.5</v>
      </c>
      <c r="Q41" s="463">
        <f t="shared" si="34"/>
        <v>0.57843938973404141</v>
      </c>
      <c r="R41" s="9">
        <f t="shared" si="39"/>
        <v>2.3130170856444678</v>
      </c>
      <c r="S41" s="9">
        <f t="shared" si="7"/>
        <v>1.6050144115449683E-2</v>
      </c>
      <c r="T41" s="9">
        <f t="shared" si="40"/>
        <v>1.6050144115449683E-2</v>
      </c>
      <c r="U41" s="463">
        <f t="shared" ref="U41:U72" si="47">SQRT(I41)*SQRT(H41^2+(J41^2)/12)</f>
        <v>2.7711445161056614</v>
      </c>
      <c r="V41" s="465">
        <f t="shared" si="9"/>
        <v>7.6792419291424802E-2</v>
      </c>
      <c r="W41" s="463">
        <f t="shared" si="41"/>
        <v>7.6792419291424802E-2</v>
      </c>
      <c r="X41" s="463">
        <f t="shared" ref="X41:X72" si="48">SQRT(I41)*SQRT(H41^2+(J41^2)/12)</f>
        <v>2.7711445161056614</v>
      </c>
      <c r="Y41" s="463">
        <f t="shared" si="11"/>
        <v>1.3822635472456464E-2</v>
      </c>
      <c r="Z41" s="463">
        <f t="shared" si="12"/>
        <v>0.33152034394969776</v>
      </c>
      <c r="AA41" s="463">
        <f t="shared" si="13"/>
        <v>4.1707768285285524E-3</v>
      </c>
      <c r="AB41" s="463">
        <f t="shared" si="14"/>
        <v>9.6751573333333316E-3</v>
      </c>
      <c r="AC41" s="463">
        <f t="shared" ref="AC41:AC72" si="49">(AB41+AA41+Z41+Y41*(1+RdsonTopTc*Ta-RdsonTopTc*25))/(1-Y41*RdsonTopTc*ThetaJaTop)</f>
        <v>0.36018465381851739</v>
      </c>
      <c r="AD41" s="463">
        <f t="shared" ref="AD41:AD72" si="50">SQRT(1-I41)*SQRT(H41^2+(J41^2)/12)</f>
        <v>2.8126155281767091</v>
      </c>
      <c r="AE41" s="463">
        <f t="shared" si="17"/>
        <v>1.4239450996813346E-2</v>
      </c>
      <c r="AF41" s="463">
        <f t="shared" si="18"/>
        <v>8.6475157333333344E-2</v>
      </c>
      <c r="AG41" s="463">
        <f t="shared" ref="AG41:AG72" si="51">(AF41+AE41*(1+RdsonBotTc*Ta-RdsonBotTc*25))/(1-AE41*RdsonBotTc*ThetaJaBot)</f>
        <v>0.1010022516527421</v>
      </c>
      <c r="AH41" s="463">
        <f t="shared" ref="AH41:AH72" si="52">IF(RDSON_sense=1, 0, AD41^2*Rshunt)</f>
        <v>0</v>
      </c>
      <c r="AI41">
        <f t="shared" si="21"/>
        <v>0</v>
      </c>
      <c r="AJ41" s="464">
        <f t="shared" si="22"/>
        <v>0.43189632</v>
      </c>
      <c r="AK41">
        <f t="shared" si="23"/>
        <v>7.2000000000000008E-2</v>
      </c>
      <c r="AL41" s="464">
        <f t="shared" si="24"/>
        <v>0.98399999999999999</v>
      </c>
      <c r="AM41" s="464">
        <f t="shared" si="25"/>
        <v>0.82265384615384629</v>
      </c>
      <c r="AN41" s="464">
        <f t="shared" si="42"/>
        <v>1.056</v>
      </c>
      <c r="AO41" s="464">
        <f t="shared" ref="AO41:AO72" si="53">SUM(Q41,T41,W41,AC41,AJ41,AI41,AG41,AN41, AH41)</f>
        <v>2.6203651786121753</v>
      </c>
      <c r="AP41" s="100">
        <f t="shared" si="27"/>
        <v>37.760000000000005</v>
      </c>
      <c r="AQ41" s="10">
        <f t="shared" si="43"/>
        <v>0.93510793755772981</v>
      </c>
      <c r="AR41" s="77">
        <f t="shared" ref="AR41:AR72" si="54">ThetaJaTop*AC41</f>
        <v>18.00923269092587</v>
      </c>
      <c r="AS41" s="77">
        <f t="shared" si="44"/>
        <v>5.0501125826371052</v>
      </c>
      <c r="AT41" s="10"/>
      <c r="AU41">
        <f t="shared" si="45"/>
        <v>93.51079375577298</v>
      </c>
      <c r="BD41">
        <v>9.9985180000000007</v>
      </c>
      <c r="BE41">
        <v>3.1859999999999999</v>
      </c>
      <c r="BF41">
        <v>5.1148889999999998</v>
      </c>
      <c r="BG41">
        <v>94.58411932633652</v>
      </c>
      <c r="BH41">
        <v>933.10990806000302</v>
      </c>
    </row>
    <row r="42" spans="1:60" x14ac:dyDescent="0.2">
      <c r="A42" s="36" t="s">
        <v>168</v>
      </c>
      <c r="B42" s="5">
        <f>RGateTop</f>
        <v>1.1000000000000001</v>
      </c>
      <c r="C42" s="472" t="s">
        <v>208</v>
      </c>
      <c r="D42" s="34" t="s">
        <v>181</v>
      </c>
      <c r="G42">
        <v>33</v>
      </c>
      <c r="H42">
        <f t="shared" si="0"/>
        <v>3.3000000000000003</v>
      </c>
      <c r="I42" s="463">
        <f t="shared" si="1"/>
        <v>0.49260166666666677</v>
      </c>
      <c r="J42" s="464">
        <f t="shared" si="2"/>
        <v>8.0129871111111122</v>
      </c>
      <c r="K42" s="464">
        <f t="shared" si="31"/>
        <v>7.3064935555555568</v>
      </c>
      <c r="L42" s="464">
        <f t="shared" si="32"/>
        <v>-0.70649355555555582</v>
      </c>
      <c r="M42" s="77">
        <f t="shared" si="3"/>
        <v>19.901226917057912</v>
      </c>
      <c r="N42" s="463">
        <f t="shared" si="46"/>
        <v>4.0299706620399531</v>
      </c>
      <c r="O42" s="463">
        <f t="shared" si="5"/>
        <v>8.1734285295277626E-2</v>
      </c>
      <c r="P42">
        <f t="shared" si="6"/>
        <v>0.5</v>
      </c>
      <c r="Q42" s="463">
        <f t="shared" si="34"/>
        <v>0.5817342852952776</v>
      </c>
      <c r="R42" s="9">
        <f t="shared" si="39"/>
        <v>2.3131501328065012</v>
      </c>
      <c r="S42" s="9">
        <f t="shared" si="7"/>
        <v>1.6051990610708201E-2</v>
      </c>
      <c r="T42" s="9">
        <f t="shared" si="40"/>
        <v>1.6051990610708201E-2</v>
      </c>
      <c r="U42" s="463">
        <f t="shared" si="47"/>
        <v>2.8284585777505833</v>
      </c>
      <c r="V42" s="465">
        <f t="shared" si="9"/>
        <v>8.0001779260508527E-2</v>
      </c>
      <c r="W42" s="463">
        <f t="shared" si="41"/>
        <v>8.0001779260508527E-2</v>
      </c>
      <c r="X42" s="463">
        <f t="shared" si="48"/>
        <v>2.8284585777505833</v>
      </c>
      <c r="Y42" s="463">
        <f t="shared" si="11"/>
        <v>1.4400320266891534E-2</v>
      </c>
      <c r="Z42" s="463">
        <f t="shared" si="12"/>
        <v>0.33613139282539317</v>
      </c>
      <c r="AA42" s="463">
        <f t="shared" si="13"/>
        <v>1.2260895009129072E-2</v>
      </c>
      <c r="AB42" s="463">
        <f t="shared" si="14"/>
        <v>8.4779226666666686E-3</v>
      </c>
      <c r="AC42" s="463">
        <f t="shared" si="49"/>
        <v>0.37234290217616856</v>
      </c>
      <c r="AD42" s="463">
        <f t="shared" si="50"/>
        <v>2.8706246029134297</v>
      </c>
      <c r="AE42" s="463">
        <f t="shared" si="17"/>
        <v>1.4832874099533395E-2</v>
      </c>
      <c r="AF42" s="463">
        <f t="shared" si="18"/>
        <v>8.7677922666666686E-2</v>
      </c>
      <c r="AG42" s="463">
        <f t="shared" si="51"/>
        <v>0.10281580755197213</v>
      </c>
      <c r="AH42" s="463">
        <f t="shared" si="52"/>
        <v>0</v>
      </c>
      <c r="AI42">
        <f t="shared" si="21"/>
        <v>0</v>
      </c>
      <c r="AJ42" s="464">
        <f t="shared" si="22"/>
        <v>0.43189307999999998</v>
      </c>
      <c r="AK42">
        <f t="shared" si="23"/>
        <v>7.2000000000000008E-2</v>
      </c>
      <c r="AL42" s="464">
        <f t="shared" si="24"/>
        <v>0.98399999999999999</v>
      </c>
      <c r="AM42" s="464">
        <f t="shared" si="25"/>
        <v>0.82265384615384629</v>
      </c>
      <c r="AN42" s="464">
        <f t="shared" si="42"/>
        <v>1.056</v>
      </c>
      <c r="AO42" s="464">
        <f t="shared" si="53"/>
        <v>2.6408398448946349</v>
      </c>
      <c r="AP42" s="100">
        <f t="shared" si="27"/>
        <v>38.940000000000005</v>
      </c>
      <c r="AQ42" s="10">
        <f t="shared" si="43"/>
        <v>0.93648902103118814</v>
      </c>
      <c r="AR42" s="77">
        <f t="shared" si="54"/>
        <v>18.617145108808426</v>
      </c>
      <c r="AS42" s="77">
        <f t="shared" si="44"/>
        <v>5.1407903775986066</v>
      </c>
      <c r="AT42" s="10"/>
      <c r="AU42">
        <f t="shared" si="45"/>
        <v>93.648902103118814</v>
      </c>
      <c r="BD42">
        <v>9.9984190000000002</v>
      </c>
      <c r="BE42">
        <v>3.6920000000000002</v>
      </c>
      <c r="BF42">
        <v>5.1137540000000001</v>
      </c>
      <c r="BG42">
        <v>94.441363374789603</v>
      </c>
      <c r="BH42">
        <v>1111.2391205219994</v>
      </c>
    </row>
    <row r="43" spans="1:60" x14ac:dyDescent="0.2">
      <c r="A43" s="36" t="s">
        <v>140</v>
      </c>
      <c r="B43" s="5">
        <f>GmTop</f>
        <v>33</v>
      </c>
      <c r="C43" s="473" t="s">
        <v>137</v>
      </c>
      <c r="D43" s="34" t="s">
        <v>182</v>
      </c>
      <c r="G43">
        <v>34</v>
      </c>
      <c r="H43">
        <f t="shared" si="0"/>
        <v>3.4000000000000004</v>
      </c>
      <c r="I43" s="463">
        <f t="shared" si="1"/>
        <v>0.49262999999999996</v>
      </c>
      <c r="J43" s="464">
        <f t="shared" si="2"/>
        <v>8.0134479999999986</v>
      </c>
      <c r="K43" s="464">
        <f t="shared" si="31"/>
        <v>7.4067239999999996</v>
      </c>
      <c r="L43" s="464">
        <f t="shared" si="32"/>
        <v>-0.60672399999999893</v>
      </c>
      <c r="M43" s="77">
        <f t="shared" si="3"/>
        <v>17.09081690140842</v>
      </c>
      <c r="N43" s="463">
        <f t="shared" si="46"/>
        <v>4.1123325583815973</v>
      </c>
      <c r="O43" s="463">
        <f t="shared" si="5"/>
        <v>8.5132273608393413E-2</v>
      </c>
      <c r="P43">
        <f t="shared" si="6"/>
        <v>0.5</v>
      </c>
      <c r="Q43" s="463">
        <f t="shared" si="34"/>
        <v>0.58513227360839337</v>
      </c>
      <c r="R43" s="9">
        <f t="shared" si="39"/>
        <v>2.3132831799685336</v>
      </c>
      <c r="S43" s="9">
        <f t="shared" si="7"/>
        <v>1.6053837212175993E-2</v>
      </c>
      <c r="T43" s="9">
        <f t="shared" si="40"/>
        <v>1.6053837212175993E-2</v>
      </c>
      <c r="U43" s="463">
        <f t="shared" si="47"/>
        <v>2.8863477629369991</v>
      </c>
      <c r="V43" s="465">
        <f t="shared" si="9"/>
        <v>8.331003408611419E-2</v>
      </c>
      <c r="W43" s="463">
        <f t="shared" si="41"/>
        <v>8.331003408611419E-2</v>
      </c>
      <c r="X43" s="463">
        <f t="shared" si="48"/>
        <v>2.8863477629369991</v>
      </c>
      <c r="Y43" s="463">
        <f t="shared" si="11"/>
        <v>1.4995806135500554E-2</v>
      </c>
      <c r="Z43" s="463">
        <f t="shared" si="12"/>
        <v>0.34074244170108831</v>
      </c>
      <c r="AA43" s="463">
        <f t="shared" si="13"/>
        <v>1.8968792409918729E-2</v>
      </c>
      <c r="AB43" s="463">
        <f t="shared" si="14"/>
        <v>7.2806879999999874E-3</v>
      </c>
      <c r="AC43" s="463">
        <f t="shared" si="49"/>
        <v>0.3831368173337294</v>
      </c>
      <c r="AD43" s="463">
        <f t="shared" si="50"/>
        <v>2.9292107575444128</v>
      </c>
      <c r="AE43" s="463">
        <f t="shared" si="17"/>
        <v>1.5444496191805043E-2</v>
      </c>
      <c r="AF43" s="463">
        <f t="shared" si="18"/>
        <v>8.8880687999999999E-2</v>
      </c>
      <c r="AG43" s="463">
        <f t="shared" si="51"/>
        <v>0.104648432655731</v>
      </c>
      <c r="AH43" s="463">
        <f t="shared" si="52"/>
        <v>0</v>
      </c>
      <c r="AI43">
        <f t="shared" si="21"/>
        <v>0</v>
      </c>
      <c r="AJ43" s="464">
        <f t="shared" si="22"/>
        <v>0.43188983999999997</v>
      </c>
      <c r="AK43">
        <f t="shared" si="23"/>
        <v>7.2000000000000008E-2</v>
      </c>
      <c r="AL43" s="464">
        <f t="shared" si="24"/>
        <v>0.98399999999999999</v>
      </c>
      <c r="AM43" s="464">
        <f t="shared" si="25"/>
        <v>0.82265384615384629</v>
      </c>
      <c r="AN43" s="464">
        <f t="shared" si="42"/>
        <v>1.056</v>
      </c>
      <c r="AO43" s="464">
        <f t="shared" si="53"/>
        <v>2.6601712348961439</v>
      </c>
      <c r="AP43" s="100">
        <f t="shared" si="27"/>
        <v>40.120000000000005</v>
      </c>
      <c r="AQ43" s="10">
        <f t="shared" si="43"/>
        <v>0.9378176580853369</v>
      </c>
      <c r="AR43" s="77">
        <f t="shared" si="54"/>
        <v>19.156840866686469</v>
      </c>
      <c r="AS43" s="77">
        <f t="shared" si="44"/>
        <v>5.2324216327865498</v>
      </c>
      <c r="AT43" s="10"/>
      <c r="AU43">
        <f t="shared" si="45"/>
        <v>93.781765808533692</v>
      </c>
      <c r="BD43">
        <v>9.998246</v>
      </c>
      <c r="BE43">
        <v>4.2430000000000003</v>
      </c>
      <c r="BF43">
        <v>5.1120590000000004</v>
      </c>
      <c r="BG43">
        <v>94.267178615859891</v>
      </c>
      <c r="BH43">
        <v>1319.0970775599953</v>
      </c>
    </row>
    <row r="44" spans="1:60" x14ac:dyDescent="0.2">
      <c r="A44" s="36" t="s">
        <v>170</v>
      </c>
      <c r="B44" s="5">
        <f>VthTop</f>
        <v>1.9</v>
      </c>
      <c r="C44" s="473" t="s">
        <v>0</v>
      </c>
      <c r="D44" s="34" t="s">
        <v>183</v>
      </c>
      <c r="G44">
        <v>35</v>
      </c>
      <c r="H44">
        <f t="shared" si="0"/>
        <v>3.5</v>
      </c>
      <c r="I44" s="463">
        <f t="shared" si="1"/>
        <v>0.49265833333333336</v>
      </c>
      <c r="J44" s="464">
        <f t="shared" si="2"/>
        <v>8.0139088888888885</v>
      </c>
      <c r="K44" s="464">
        <f t="shared" si="31"/>
        <v>7.5069544444444443</v>
      </c>
      <c r="L44" s="464">
        <f t="shared" si="32"/>
        <v>-0.50695444444444426</v>
      </c>
      <c r="M44" s="77">
        <f t="shared" si="3"/>
        <v>14.280406885758994</v>
      </c>
      <c r="N44" s="463">
        <f t="shared" si="46"/>
        <v>4.1954611951430358</v>
      </c>
      <c r="O44" s="463">
        <f t="shared" si="5"/>
        <v>8.8633520354494261E-2</v>
      </c>
      <c r="P44">
        <f t="shared" si="6"/>
        <v>0.5</v>
      </c>
      <c r="Q44" s="463">
        <f t="shared" si="34"/>
        <v>0.58863352035449423</v>
      </c>
      <c r="R44" s="9">
        <f t="shared" si="39"/>
        <v>2.3134162271305674</v>
      </c>
      <c r="S44" s="9">
        <f t="shared" si="7"/>
        <v>1.6055683919853087E-2</v>
      </c>
      <c r="T44" s="9">
        <f t="shared" si="40"/>
        <v>1.6055683919853087E-2</v>
      </c>
      <c r="U44" s="463">
        <f t="shared" si="47"/>
        <v>2.944778442740168</v>
      </c>
      <c r="V44" s="465">
        <f t="shared" si="9"/>
        <v>8.6717200768272079E-2</v>
      </c>
      <c r="W44" s="463">
        <f t="shared" si="41"/>
        <v>8.6717200768272079E-2</v>
      </c>
      <c r="X44" s="463">
        <f t="shared" si="48"/>
        <v>2.944778442740168</v>
      </c>
      <c r="Y44" s="463">
        <f t="shared" si="11"/>
        <v>1.5609096138288975E-2</v>
      </c>
      <c r="Z44" s="463">
        <f t="shared" si="12"/>
        <v>0.34535349057678361</v>
      </c>
      <c r="AA44" s="463">
        <f t="shared" si="13"/>
        <v>2.4294469030897266E-2</v>
      </c>
      <c r="AB44" s="463">
        <f t="shared" si="14"/>
        <v>6.0834533333333305E-3</v>
      </c>
      <c r="AC44" s="463">
        <f t="shared" si="49"/>
        <v>0.39256602925756467</v>
      </c>
      <c r="AD44" s="463">
        <f t="shared" si="50"/>
        <v>2.9883397670150931</v>
      </c>
      <c r="AE44" s="463">
        <f t="shared" si="17"/>
        <v>1.6074314213622876E-2</v>
      </c>
      <c r="AF44" s="463">
        <f t="shared" si="18"/>
        <v>9.0083453333333327E-2</v>
      </c>
      <c r="AG44" s="463">
        <f t="shared" si="51"/>
        <v>0.10650015092490925</v>
      </c>
      <c r="AH44" s="463">
        <f t="shared" si="52"/>
        <v>0</v>
      </c>
      <c r="AI44">
        <f t="shared" si="21"/>
        <v>0</v>
      </c>
      <c r="AJ44" s="464">
        <f t="shared" si="22"/>
        <v>0.43188659999999995</v>
      </c>
      <c r="AK44">
        <f t="shared" si="23"/>
        <v>7.2000000000000008E-2</v>
      </c>
      <c r="AL44" s="464">
        <f t="shared" si="24"/>
        <v>0.98399999999999999</v>
      </c>
      <c r="AM44" s="464">
        <f t="shared" si="25"/>
        <v>0.82265384615384629</v>
      </c>
      <c r="AN44" s="464">
        <f t="shared" si="42"/>
        <v>1.056</v>
      </c>
      <c r="AO44" s="464">
        <f t="shared" si="53"/>
        <v>2.6783591852250934</v>
      </c>
      <c r="AP44" s="100">
        <f t="shared" si="27"/>
        <v>41.300000000000004</v>
      </c>
      <c r="AQ44" s="10">
        <f t="shared" si="43"/>
        <v>0.93909824661842067</v>
      </c>
      <c r="AR44" s="77">
        <f t="shared" si="54"/>
        <v>19.628301462878234</v>
      </c>
      <c r="AS44" s="77">
        <f t="shared" si="44"/>
        <v>5.3250075462454625</v>
      </c>
      <c r="AT44" s="10"/>
      <c r="AU44">
        <f t="shared" si="45"/>
        <v>93.909824661842066</v>
      </c>
      <c r="BD44">
        <v>9.9981469999999995</v>
      </c>
      <c r="BE44">
        <v>4.8490000000000002</v>
      </c>
      <c r="BF44">
        <v>5.1107740000000002</v>
      </c>
      <c r="BG44">
        <v>93.953815994681278</v>
      </c>
      <c r="BH44">
        <v>1594.7983209009985</v>
      </c>
    </row>
    <row r="45" spans="1:60" x14ac:dyDescent="0.2">
      <c r="A45" s="43" t="s">
        <v>235</v>
      </c>
      <c r="B45" s="5">
        <f>VspTop</f>
        <v>2.5060606060606059</v>
      </c>
      <c r="C45" s="475" t="s">
        <v>0</v>
      </c>
      <c r="G45">
        <v>36</v>
      </c>
      <c r="H45">
        <f t="shared" si="0"/>
        <v>3.5999999999999996</v>
      </c>
      <c r="I45" s="463">
        <f t="shared" si="1"/>
        <v>0.49268666666666672</v>
      </c>
      <c r="J45" s="464">
        <f t="shared" si="2"/>
        <v>8.0143697777777785</v>
      </c>
      <c r="K45" s="464">
        <f t="shared" si="31"/>
        <v>7.6071848888888889</v>
      </c>
      <c r="L45" s="464">
        <f t="shared" si="32"/>
        <v>-0.4071848888888896</v>
      </c>
      <c r="M45" s="77">
        <f t="shared" si="3"/>
        <v>11.469996870109565</v>
      </c>
      <c r="N45" s="463">
        <f t="shared" si="46"/>
        <v>4.2793118891452417</v>
      </c>
      <c r="O45" s="463">
        <f t="shared" si="5"/>
        <v>9.2238196389428276E-2</v>
      </c>
      <c r="P45">
        <f t="shared" si="6"/>
        <v>0.5</v>
      </c>
      <c r="Q45" s="463">
        <f t="shared" si="34"/>
        <v>0.59223819638942832</v>
      </c>
      <c r="R45" s="9">
        <f t="shared" si="39"/>
        <v>2.3135492742926012</v>
      </c>
      <c r="S45" s="9">
        <f t="shared" si="7"/>
        <v>1.6057530733739465E-2</v>
      </c>
      <c r="T45" s="9">
        <f t="shared" si="40"/>
        <v>1.6057530733739465E-2</v>
      </c>
      <c r="U45" s="463">
        <f t="shared" si="47"/>
        <v>3.0037192995853017</v>
      </c>
      <c r="V45" s="465">
        <f t="shared" si="9"/>
        <v>9.0223296307012146E-2</v>
      </c>
      <c r="W45" s="463">
        <f t="shared" si="41"/>
        <v>9.0223296307012146E-2</v>
      </c>
      <c r="X45" s="463">
        <f t="shared" si="48"/>
        <v>3.0037192995853017</v>
      </c>
      <c r="Y45" s="463">
        <f t="shared" si="11"/>
        <v>1.6240193335262186E-2</v>
      </c>
      <c r="Z45" s="463">
        <f t="shared" si="12"/>
        <v>0.34996453945247891</v>
      </c>
      <c r="AA45" s="463">
        <f t="shared" si="13"/>
        <v>2.8237924872064848E-2</v>
      </c>
      <c r="AB45" s="463">
        <f t="shared" si="14"/>
        <v>4.8862186666666745E-3</v>
      </c>
      <c r="AC45" s="463">
        <f t="shared" si="49"/>
        <v>0.40063013850753165</v>
      </c>
      <c r="AD45" s="463">
        <f t="shared" si="50"/>
        <v>3.0479797594273164</v>
      </c>
      <c r="AE45" s="463">
        <f t="shared" si="17"/>
        <v>1.6722325104981482E-2</v>
      </c>
      <c r="AF45" s="463">
        <f t="shared" si="18"/>
        <v>9.1286218666666669E-2</v>
      </c>
      <c r="AG45" s="463">
        <f t="shared" si="51"/>
        <v>0.10837098674611137</v>
      </c>
      <c r="AH45" s="463">
        <f t="shared" si="52"/>
        <v>0</v>
      </c>
      <c r="AI45">
        <f t="shared" si="21"/>
        <v>0</v>
      </c>
      <c r="AJ45" s="464">
        <f t="shared" si="22"/>
        <v>0.43188335999999999</v>
      </c>
      <c r="AK45">
        <f t="shared" si="23"/>
        <v>7.2000000000000008E-2</v>
      </c>
      <c r="AL45" s="464">
        <f t="shared" si="24"/>
        <v>0.98399999999999999</v>
      </c>
      <c r="AM45" s="464">
        <f t="shared" si="25"/>
        <v>0.82265384615384629</v>
      </c>
      <c r="AN45" s="464">
        <f t="shared" si="42"/>
        <v>1.056</v>
      </c>
      <c r="AO45" s="464">
        <f t="shared" si="53"/>
        <v>2.6954035086838228</v>
      </c>
      <c r="AP45" s="100">
        <f t="shared" si="27"/>
        <v>42.48</v>
      </c>
      <c r="AQ45" s="10">
        <f t="shared" si="43"/>
        <v>0.94033471094141519</v>
      </c>
      <c r="AR45" s="77">
        <f t="shared" si="54"/>
        <v>20.031506925376583</v>
      </c>
      <c r="AS45" s="77">
        <f t="shared" si="44"/>
        <v>5.4185493373055689</v>
      </c>
      <c r="AT45" s="10"/>
      <c r="AU45">
        <f t="shared" si="45"/>
        <v>94.033471094141518</v>
      </c>
      <c r="BD45">
        <v>9.9979859999999992</v>
      </c>
      <c r="BE45">
        <v>5.4960000000000004</v>
      </c>
      <c r="BF45">
        <v>5.1097890000000001</v>
      </c>
      <c r="BG45">
        <v>93.599771362833366</v>
      </c>
      <c r="BH45">
        <v>1920.3056923499939</v>
      </c>
    </row>
    <row r="46" spans="1:60" x14ac:dyDescent="0.2">
      <c r="A46" s="139" t="s">
        <v>378</v>
      </c>
      <c r="B46" s="5">
        <f>VsdTop</f>
        <v>0.8</v>
      </c>
      <c r="C46" s="475" t="s">
        <v>0</v>
      </c>
      <c r="G46">
        <v>37</v>
      </c>
      <c r="H46">
        <f t="shared" si="0"/>
        <v>3.7</v>
      </c>
      <c r="I46" s="463">
        <f t="shared" si="1"/>
        <v>0.49271500000000001</v>
      </c>
      <c r="J46" s="464">
        <f t="shared" si="2"/>
        <v>8.0148306666666667</v>
      </c>
      <c r="K46" s="464">
        <f t="shared" si="31"/>
        <v>7.7074153333333335</v>
      </c>
      <c r="L46" s="464">
        <f t="shared" si="32"/>
        <v>-0.30741533333333315</v>
      </c>
      <c r="M46" s="77">
        <f t="shared" si="3"/>
        <v>8.6595868544600876</v>
      </c>
      <c r="N46" s="463">
        <f t="shared" si="46"/>
        <v>4.3638430178698799</v>
      </c>
      <c r="O46" s="463">
        <f t="shared" si="5"/>
        <v>9.5946477764762284E-2</v>
      </c>
      <c r="P46">
        <f t="shared" si="6"/>
        <v>0.5</v>
      </c>
      <c r="Q46" s="463">
        <f t="shared" si="34"/>
        <v>0.59594647776476228</v>
      </c>
      <c r="R46" s="9">
        <f t="shared" si="39"/>
        <v>2.313682321454634</v>
      </c>
      <c r="S46" s="9">
        <f t="shared" si="7"/>
        <v>1.6059377653835114E-2</v>
      </c>
      <c r="T46" s="9">
        <f t="shared" si="40"/>
        <v>1.6059377653835114E-2</v>
      </c>
      <c r="U46" s="463">
        <f t="shared" si="47"/>
        <v>3.0631411606774597</v>
      </c>
      <c r="V46" s="465">
        <f t="shared" si="9"/>
        <v>9.3828337702364553E-2</v>
      </c>
      <c r="W46" s="463">
        <f t="shared" si="41"/>
        <v>9.3828337702364553E-2</v>
      </c>
      <c r="X46" s="463">
        <f t="shared" si="48"/>
        <v>3.0631411606774597</v>
      </c>
      <c r="Y46" s="463">
        <f t="shared" si="11"/>
        <v>1.688910078642562E-2</v>
      </c>
      <c r="Z46" s="463">
        <f t="shared" si="12"/>
        <v>0.35457558832817421</v>
      </c>
      <c r="AA46" s="463">
        <f t="shared" si="13"/>
        <v>3.079915993342151E-2</v>
      </c>
      <c r="AB46" s="463">
        <f t="shared" si="14"/>
        <v>3.6889839999999976E-3</v>
      </c>
      <c r="AC46" s="463">
        <f t="shared" si="49"/>
        <v>0.40732871619623007</v>
      </c>
      <c r="AD46" s="463">
        <f t="shared" si="50"/>
        <v>3.1081010463585712</v>
      </c>
      <c r="AE46" s="463">
        <f t="shared" si="17"/>
        <v>1.7388525805875441E-2</v>
      </c>
      <c r="AF46" s="463">
        <f t="shared" si="18"/>
        <v>9.248898400000001E-2</v>
      </c>
      <c r="AG46" s="463">
        <f t="shared" si="51"/>
        <v>0.11026096493269803</v>
      </c>
      <c r="AH46" s="463">
        <f t="shared" si="52"/>
        <v>0</v>
      </c>
      <c r="AI46">
        <f t="shared" si="21"/>
        <v>0</v>
      </c>
      <c r="AJ46" s="464">
        <f t="shared" si="22"/>
        <v>0.43188011999999998</v>
      </c>
      <c r="AK46">
        <f t="shared" si="23"/>
        <v>7.2000000000000008E-2</v>
      </c>
      <c r="AL46" s="464">
        <f t="shared" si="24"/>
        <v>0.98399999999999999</v>
      </c>
      <c r="AM46" s="464">
        <f t="shared" si="25"/>
        <v>0.82265384615384629</v>
      </c>
      <c r="AN46" s="464">
        <f t="shared" si="42"/>
        <v>1.056</v>
      </c>
      <c r="AO46" s="464">
        <f t="shared" si="53"/>
        <v>2.71130399424989</v>
      </c>
      <c r="AP46" s="100">
        <f t="shared" si="27"/>
        <v>43.660000000000004</v>
      </c>
      <c r="AQ46" s="10">
        <f t="shared" si="43"/>
        <v>0.94153056393268353</v>
      </c>
      <c r="AR46" s="77">
        <f t="shared" si="54"/>
        <v>20.366435809811502</v>
      </c>
      <c r="AS46" s="77">
        <f t="shared" si="44"/>
        <v>5.5130482466349013</v>
      </c>
      <c r="AT46" s="10"/>
      <c r="AU46">
        <f t="shared" si="45"/>
        <v>94.153056393268358</v>
      </c>
      <c r="BD46">
        <v>9.9978999999999996</v>
      </c>
      <c r="BE46">
        <v>6.1950000000000003</v>
      </c>
      <c r="BF46">
        <v>5.109191</v>
      </c>
      <c r="BG46">
        <v>93.156651672159526</v>
      </c>
      <c r="BH46">
        <v>2325.1351758999972</v>
      </c>
    </row>
    <row r="47" spans="1:60" x14ac:dyDescent="0.2">
      <c r="A47" s="36" t="s">
        <v>161</v>
      </c>
      <c r="B47" s="5">
        <f>ThetaJaTop</f>
        <v>50</v>
      </c>
      <c r="C47" s="473" t="s">
        <v>381</v>
      </c>
      <c r="D47" s="34" t="s">
        <v>184</v>
      </c>
      <c r="G47">
        <v>38</v>
      </c>
      <c r="H47">
        <f t="shared" si="0"/>
        <v>3.8</v>
      </c>
      <c r="I47" s="463">
        <f t="shared" si="1"/>
        <v>0.49274333333333337</v>
      </c>
      <c r="J47" s="464">
        <f t="shared" si="2"/>
        <v>8.0152915555555548</v>
      </c>
      <c r="K47" s="464">
        <f t="shared" si="31"/>
        <v>7.8076457777777772</v>
      </c>
      <c r="L47" s="464">
        <f t="shared" si="32"/>
        <v>-0.2076457777777776</v>
      </c>
      <c r="M47" s="77">
        <f t="shared" si="3"/>
        <v>5.849176838810636</v>
      </c>
      <c r="N47" s="463">
        <f t="shared" si="46"/>
        <v>4.4490157967854733</v>
      </c>
      <c r="O47" s="463">
        <f t="shared" si="5"/>
        <v>9.9758545749421446E-2</v>
      </c>
      <c r="P47">
        <f t="shared" si="6"/>
        <v>0.5</v>
      </c>
      <c r="Q47" s="463">
        <f t="shared" si="34"/>
        <v>0.59975854574942145</v>
      </c>
      <c r="R47" s="9">
        <f t="shared" si="39"/>
        <v>2.3138153686166669</v>
      </c>
      <c r="S47" s="9">
        <f t="shared" si="7"/>
        <v>1.6061224680140047E-2</v>
      </c>
      <c r="T47" s="9">
        <f t="shared" si="40"/>
        <v>1.6061224680140047E-2</v>
      </c>
      <c r="U47" s="463">
        <f t="shared" si="47"/>
        <v>3.1230168420032469</v>
      </c>
      <c r="V47" s="465">
        <f t="shared" si="9"/>
        <v>9.7532341954359336E-2</v>
      </c>
      <c r="W47" s="463">
        <f t="shared" si="41"/>
        <v>9.7532341954359336E-2</v>
      </c>
      <c r="X47" s="463">
        <f t="shared" si="48"/>
        <v>3.1230168420032469</v>
      </c>
      <c r="Y47" s="463">
        <f t="shared" si="11"/>
        <v>1.755582155178468E-2</v>
      </c>
      <c r="Z47" s="463">
        <f t="shared" si="12"/>
        <v>0.35918663720386945</v>
      </c>
      <c r="AA47" s="463">
        <f t="shared" si="13"/>
        <v>3.1978174214967153E-2</v>
      </c>
      <c r="AB47" s="463">
        <f t="shared" si="14"/>
        <v>2.4917493333333311E-3</v>
      </c>
      <c r="AC47" s="463">
        <f t="shared" si="49"/>
        <v>0.41266130394663741</v>
      </c>
      <c r="AD47" s="463">
        <f t="shared" si="50"/>
        <v>3.1686759639651934</v>
      </c>
      <c r="AE47" s="463">
        <f t="shared" si="17"/>
        <v>1.8072913256299342E-2</v>
      </c>
      <c r="AF47" s="463">
        <f t="shared" si="18"/>
        <v>9.3691749333333324E-2</v>
      </c>
      <c r="AG47" s="463">
        <f t="shared" si="51"/>
        <v>0.11217011072585223</v>
      </c>
      <c r="AH47" s="463">
        <f t="shared" si="52"/>
        <v>0</v>
      </c>
      <c r="AI47">
        <f t="shared" si="21"/>
        <v>0</v>
      </c>
      <c r="AJ47" s="464">
        <f t="shared" si="22"/>
        <v>0.43187687999999996</v>
      </c>
      <c r="AK47">
        <f t="shared" si="23"/>
        <v>7.2000000000000008E-2</v>
      </c>
      <c r="AL47" s="464">
        <f t="shared" si="24"/>
        <v>0.98399999999999999</v>
      </c>
      <c r="AM47" s="464">
        <f t="shared" si="25"/>
        <v>0.82265384615384629</v>
      </c>
      <c r="AN47" s="464">
        <f t="shared" si="42"/>
        <v>1.056</v>
      </c>
      <c r="AO47" s="464">
        <f t="shared" si="53"/>
        <v>2.7260604070564103</v>
      </c>
      <c r="AP47" s="100">
        <f t="shared" si="27"/>
        <v>44.84</v>
      </c>
      <c r="AQ47" s="10">
        <f t="shared" si="43"/>
        <v>0.94268895965468691</v>
      </c>
      <c r="AR47" s="77">
        <f t="shared" si="54"/>
        <v>20.63306519733187</v>
      </c>
      <c r="AS47" s="77">
        <f t="shared" si="44"/>
        <v>5.6085055362926113</v>
      </c>
      <c r="AT47" s="10"/>
      <c r="AU47">
        <f t="shared" si="45"/>
        <v>94.268895965468687</v>
      </c>
      <c r="BD47">
        <v>9.9976269999999996</v>
      </c>
      <c r="BE47">
        <v>6.9470000000000001</v>
      </c>
      <c r="BF47">
        <v>5.1086669999999996</v>
      </c>
      <c r="BG47">
        <v>92.656807634751772</v>
      </c>
      <c r="BH47">
        <v>2812.6290012010018</v>
      </c>
    </row>
    <row r="48" spans="1:60" x14ac:dyDescent="0.2">
      <c r="A48" s="37" t="s">
        <v>130</v>
      </c>
      <c r="B48" s="28" t="s">
        <v>201</v>
      </c>
      <c r="C48" s="37" t="s">
        <v>148</v>
      </c>
      <c r="D48" s="30" t="s">
        <v>188</v>
      </c>
      <c r="G48">
        <v>39</v>
      </c>
      <c r="H48">
        <f t="shared" si="0"/>
        <v>3.9000000000000004</v>
      </c>
      <c r="I48" s="463">
        <f t="shared" si="1"/>
        <v>0.49277166666666677</v>
      </c>
      <c r="J48" s="464">
        <f t="shared" si="2"/>
        <v>8.0157524444444466</v>
      </c>
      <c r="K48" s="464">
        <f t="shared" si="31"/>
        <v>7.9078762222222236</v>
      </c>
      <c r="L48" s="464">
        <f t="shared" si="32"/>
        <v>-0.10787622222222293</v>
      </c>
      <c r="M48" s="77">
        <f t="shared" si="3"/>
        <v>3.0387668231612093</v>
      </c>
      <c r="N48" s="463">
        <f t="shared" si="46"/>
        <v>4.5347940714970472</v>
      </c>
      <c r="O48" s="463">
        <f t="shared" si="5"/>
        <v>0.10367458685199818</v>
      </c>
      <c r="P48">
        <f t="shared" si="6"/>
        <v>0.5</v>
      </c>
      <c r="Q48" s="463">
        <f t="shared" si="34"/>
        <v>0.60367458685199815</v>
      </c>
      <c r="R48" s="9">
        <f t="shared" si="39"/>
        <v>2.3139484157787011</v>
      </c>
      <c r="S48" s="9">
        <f t="shared" si="7"/>
        <v>1.6063071812654282E-2</v>
      </c>
      <c r="T48" s="9">
        <f t="shared" si="40"/>
        <v>1.6063071812654282E-2</v>
      </c>
      <c r="U48" s="463">
        <f t="shared" si="47"/>
        <v>3.1833210027112679</v>
      </c>
      <c r="V48" s="465">
        <f t="shared" si="9"/>
        <v>0.10133532606302673</v>
      </c>
      <c r="W48" s="463">
        <f t="shared" si="41"/>
        <v>0.10133532606302673</v>
      </c>
      <c r="X48" s="463">
        <f t="shared" si="48"/>
        <v>3.1833210027112679</v>
      </c>
      <c r="Y48" s="463">
        <f t="shared" si="11"/>
        <v>1.8240358691344809E-2</v>
      </c>
      <c r="Z48" s="463">
        <f t="shared" si="12"/>
        <v>0.36379768607956481</v>
      </c>
      <c r="AA48" s="463">
        <f t="shared" si="13"/>
        <v>3.1774967716701817E-2</v>
      </c>
      <c r="AB48" s="463">
        <f t="shared" si="14"/>
        <v>1.2945146666666749E-3</v>
      </c>
      <c r="AC48" s="463">
        <f t="shared" si="49"/>
        <v>0.41662741384812557</v>
      </c>
      <c r="AD48" s="463">
        <f t="shared" si="50"/>
        <v>3.2296787246693892</v>
      </c>
      <c r="AE48" s="463">
        <f t="shared" si="17"/>
        <v>1.8775484396247766E-2</v>
      </c>
      <c r="AF48" s="463">
        <f t="shared" si="18"/>
        <v>9.4894514666666679E-2</v>
      </c>
      <c r="AG48" s="463">
        <f t="shared" si="51"/>
        <v>0.11409844979566938</v>
      </c>
      <c r="AH48" s="463">
        <f t="shared" si="52"/>
        <v>0</v>
      </c>
      <c r="AI48">
        <f t="shared" si="21"/>
        <v>0</v>
      </c>
      <c r="AJ48" s="464">
        <f t="shared" si="22"/>
        <v>0.43187363999999995</v>
      </c>
      <c r="AK48">
        <f t="shared" si="23"/>
        <v>7.2000000000000008E-2</v>
      </c>
      <c r="AL48" s="464">
        <f t="shared" si="24"/>
        <v>0.98399999999999999</v>
      </c>
      <c r="AM48" s="464">
        <f t="shared" si="25"/>
        <v>0.82265384615384629</v>
      </c>
      <c r="AN48" s="464">
        <f t="shared" si="42"/>
        <v>1.056</v>
      </c>
      <c r="AO48" s="464">
        <f t="shared" si="53"/>
        <v>2.739672488371474</v>
      </c>
      <c r="AP48" s="100">
        <f t="shared" si="27"/>
        <v>46.02000000000001</v>
      </c>
      <c r="AQ48" s="10">
        <f t="shared" si="43"/>
        <v>0.94381273809776201</v>
      </c>
      <c r="AR48" s="77">
        <f t="shared" si="54"/>
        <v>20.831370692406278</v>
      </c>
      <c r="AS48" s="77">
        <f t="shared" si="44"/>
        <v>5.7049224897834687</v>
      </c>
      <c r="AT48" s="10"/>
      <c r="AU48">
        <f t="shared" si="45"/>
        <v>94.381273809776204</v>
      </c>
      <c r="BD48">
        <v>9.9975280000000009</v>
      </c>
      <c r="BE48">
        <v>7.7530000000000001</v>
      </c>
      <c r="BF48">
        <v>5.10853</v>
      </c>
      <c r="BG48">
        <v>92.034336419785248</v>
      </c>
      <c r="BH48">
        <v>3427.976173640001</v>
      </c>
    </row>
    <row r="49" spans="1:60" x14ac:dyDescent="0.2">
      <c r="A49" s="36" t="s">
        <v>139</v>
      </c>
      <c r="B49" s="5">
        <f>RdsonBot*1000</f>
        <v>1.8</v>
      </c>
      <c r="C49" s="473" t="s">
        <v>622</v>
      </c>
      <c r="D49" s="34" t="s">
        <v>192</v>
      </c>
      <c r="G49">
        <v>40</v>
      </c>
      <c r="H49">
        <f t="shared" si="0"/>
        <v>4</v>
      </c>
      <c r="I49" s="463">
        <f t="shared" si="1"/>
        <v>0.49279999999999996</v>
      </c>
      <c r="J49" s="464">
        <f t="shared" si="2"/>
        <v>8.0162133333333312</v>
      </c>
      <c r="K49" s="464">
        <f t="shared" si="31"/>
        <v>8.0081066666666665</v>
      </c>
      <c r="L49" s="464">
        <f t="shared" si="32"/>
        <v>-8.1066666666655962E-3</v>
      </c>
      <c r="M49" s="77">
        <f t="shared" si="3"/>
        <v>0.22835680751170692</v>
      </c>
      <c r="N49" s="463">
        <f t="shared" si="46"/>
        <v>4.6211441242538545</v>
      </c>
      <c r="O49" s="463">
        <f t="shared" si="5"/>
        <v>0.10769479284373479</v>
      </c>
      <c r="P49">
        <f t="shared" si="6"/>
        <v>0.5</v>
      </c>
      <c r="Q49" s="463">
        <f t="shared" si="34"/>
        <v>0.60769479284373484</v>
      </c>
      <c r="R49" s="9">
        <f t="shared" si="39"/>
        <v>2.3140814629407331</v>
      </c>
      <c r="S49" s="9">
        <f t="shared" si="7"/>
        <v>1.6064919051377774E-2</v>
      </c>
      <c r="T49" s="9">
        <f t="shared" si="40"/>
        <v>1.6064919051377774E-2</v>
      </c>
      <c r="U49" s="463">
        <f t="shared" si="47"/>
        <v>3.2440300095467141</v>
      </c>
      <c r="V49" s="465">
        <f t="shared" si="9"/>
        <v>0.10523730702839654</v>
      </c>
      <c r="W49" s="463">
        <f t="shared" si="41"/>
        <v>0.10523730702839654</v>
      </c>
      <c r="X49" s="463">
        <f t="shared" si="48"/>
        <v>3.2440300095467141</v>
      </c>
      <c r="Y49" s="463">
        <f t="shared" si="11"/>
        <v>1.8942715265111376E-2</v>
      </c>
      <c r="Z49" s="463">
        <f t="shared" si="12"/>
        <v>0.36840873495526005</v>
      </c>
      <c r="AA49" s="463">
        <f t="shared" si="13"/>
        <v>3.0189540438625456E-2</v>
      </c>
      <c r="AB49" s="463">
        <f t="shared" si="14"/>
        <v>9.7279999999987156E-5</v>
      </c>
      <c r="AC49" s="463">
        <f t="shared" si="49"/>
        <v>0.41922652841085045</v>
      </c>
      <c r="AD49" s="463">
        <f t="shared" si="50"/>
        <v>3.2910852790965888</v>
      </c>
      <c r="AE49" s="463">
        <f t="shared" si="17"/>
        <v>1.9496236165715289E-2</v>
      </c>
      <c r="AF49" s="463">
        <f t="shared" si="18"/>
        <v>9.6097279999999993E-2</v>
      </c>
      <c r="AG49" s="463">
        <f t="shared" si="51"/>
        <v>0.11604600824227125</v>
      </c>
      <c r="AH49" s="463">
        <f t="shared" si="52"/>
        <v>0</v>
      </c>
      <c r="AI49">
        <f t="shared" si="21"/>
        <v>0</v>
      </c>
      <c r="AJ49" s="464">
        <f t="shared" si="22"/>
        <v>0.43187039999999993</v>
      </c>
      <c r="AK49">
        <f t="shared" si="23"/>
        <v>7.2000000000000008E-2</v>
      </c>
      <c r="AL49" s="464">
        <f t="shared" si="24"/>
        <v>0.98399999999999999</v>
      </c>
      <c r="AM49" s="464">
        <f t="shared" si="25"/>
        <v>0.82265384615384629</v>
      </c>
      <c r="AN49" s="464">
        <f t="shared" si="42"/>
        <v>1.056</v>
      </c>
      <c r="AO49" s="464">
        <f t="shared" si="53"/>
        <v>2.7521399555766308</v>
      </c>
      <c r="AP49" s="100">
        <f t="shared" si="27"/>
        <v>47.2</v>
      </c>
      <c r="AQ49" s="10">
        <f t="shared" si="43"/>
        <v>0.9449044633918755</v>
      </c>
      <c r="AR49" s="77">
        <f t="shared" si="54"/>
        <v>20.961326420542523</v>
      </c>
      <c r="AS49" s="77">
        <f t="shared" si="44"/>
        <v>5.8023004121135626</v>
      </c>
      <c r="AT49" s="10"/>
      <c r="AU49">
        <f t="shared" si="45"/>
        <v>94.490446339187557</v>
      </c>
      <c r="BD49">
        <v>9.9970090000000003</v>
      </c>
      <c r="BE49">
        <v>8.6120000000000001</v>
      </c>
      <c r="BF49">
        <v>5.1085419999999999</v>
      </c>
      <c r="BG49">
        <v>91.346378256658895</v>
      </c>
      <c r="BH49">
        <v>4167.8065612820019</v>
      </c>
    </row>
    <row r="50" spans="1:60" x14ac:dyDescent="0.2">
      <c r="A50" s="36" t="s">
        <v>153</v>
      </c>
      <c r="B50" s="5">
        <v>4500</v>
      </c>
      <c r="C50" s="473" t="s">
        <v>623</v>
      </c>
      <c r="D50" s="34" t="s">
        <v>185</v>
      </c>
      <c r="G50">
        <v>41</v>
      </c>
      <c r="H50">
        <f t="shared" si="0"/>
        <v>4.0999999999999996</v>
      </c>
      <c r="I50" s="463">
        <f t="shared" si="1"/>
        <v>0.49282833333333337</v>
      </c>
      <c r="J50" s="464">
        <f t="shared" si="2"/>
        <v>8.0166742222222229</v>
      </c>
      <c r="K50" s="464">
        <f t="shared" si="31"/>
        <v>8.108337111111112</v>
      </c>
      <c r="L50" s="464">
        <f t="shared" si="32"/>
        <v>9.1662888888888183E-2</v>
      </c>
      <c r="M50" s="77">
        <f t="shared" si="3"/>
        <v>0</v>
      </c>
      <c r="N50" s="463">
        <f t="shared" si="46"/>
        <v>4.7080344942205112</v>
      </c>
      <c r="O50" s="463">
        <f t="shared" si="5"/>
        <v>0.11181936078218663</v>
      </c>
      <c r="P50">
        <f t="shared" si="6"/>
        <v>0.5</v>
      </c>
      <c r="Q50" s="463">
        <f t="shared" si="34"/>
        <v>0.61181936078218668</v>
      </c>
      <c r="R50" s="9">
        <f t="shared" si="39"/>
        <v>2.3142145101027674</v>
      </c>
      <c r="S50" s="9">
        <f t="shared" si="7"/>
        <v>1.6066766396310574E-2</v>
      </c>
      <c r="T50" s="9">
        <f t="shared" si="40"/>
        <v>1.6066766396310574E-2</v>
      </c>
      <c r="U50" s="463">
        <f t="shared" si="47"/>
        <v>3.3051218109246614</v>
      </c>
      <c r="V50" s="465">
        <f t="shared" si="9"/>
        <v>0.10923830185049914</v>
      </c>
      <c r="W50" s="463">
        <f t="shared" si="41"/>
        <v>0.10923830185049914</v>
      </c>
      <c r="X50" s="463">
        <f t="shared" si="48"/>
        <v>3.3051218109246614</v>
      </c>
      <c r="Y50" s="463">
        <f t="shared" si="11"/>
        <v>1.9662894333089844E-2</v>
      </c>
      <c r="Z50" s="463">
        <f t="shared" si="12"/>
        <v>0.3751359117264651</v>
      </c>
      <c r="AA50" s="463">
        <f t="shared" si="13"/>
        <v>2.9999999999999992E-2</v>
      </c>
      <c r="AB50" s="463">
        <f t="shared" si="14"/>
        <v>0</v>
      </c>
      <c r="AC50" s="463">
        <f t="shared" si="49"/>
        <v>0.42647595639278585</v>
      </c>
      <c r="AD50" s="463">
        <f t="shared" si="50"/>
        <v>3.3528731878375999</v>
      </c>
      <c r="AE50" s="463">
        <f t="shared" si="17"/>
        <v>2.0235165504696485E-2</v>
      </c>
      <c r="AF50" s="463">
        <f t="shared" si="18"/>
        <v>9.8399999999999987E-2</v>
      </c>
      <c r="AG50" s="463">
        <f t="shared" si="51"/>
        <v>0.11911723690534483</v>
      </c>
      <c r="AH50" s="463">
        <f t="shared" si="52"/>
        <v>0</v>
      </c>
      <c r="AI50">
        <f t="shared" si="21"/>
        <v>0</v>
      </c>
      <c r="AJ50" s="464">
        <f t="shared" si="22"/>
        <v>0.43186715999999992</v>
      </c>
      <c r="AK50">
        <f t="shared" si="23"/>
        <v>7.2000000000000008E-2</v>
      </c>
      <c r="AL50" s="464">
        <f t="shared" si="24"/>
        <v>0.98399999999999999</v>
      </c>
      <c r="AM50" s="464">
        <f t="shared" si="25"/>
        <v>0.82265384615384629</v>
      </c>
      <c r="AN50" s="464">
        <f t="shared" si="42"/>
        <v>1.056</v>
      </c>
      <c r="AO50" s="464">
        <f t="shared" si="53"/>
        <v>2.770584782327127</v>
      </c>
      <c r="AP50" s="100">
        <f t="shared" si="27"/>
        <v>48.379999999999995</v>
      </c>
      <c r="AQ50" s="10">
        <f t="shared" si="43"/>
        <v>0.94583473885748448</v>
      </c>
      <c r="AR50" s="77">
        <f t="shared" si="54"/>
        <v>21.323797819639292</v>
      </c>
      <c r="AS50" s="77">
        <f t="shared" si="44"/>
        <v>5.9558618452672416</v>
      </c>
      <c r="AT50" s="10"/>
      <c r="AU50">
        <f t="shared" si="45"/>
        <v>94.583473885748447</v>
      </c>
      <c r="BD50">
        <v>9.9969590000000004</v>
      </c>
      <c r="BE50">
        <v>9.5229999999999997</v>
      </c>
      <c r="BF50">
        <v>5.1087540000000002</v>
      </c>
      <c r="BG50">
        <v>90.547826191651922</v>
      </c>
      <c r="BH50">
        <v>5078.5816240809982</v>
      </c>
    </row>
    <row r="51" spans="1:60" x14ac:dyDescent="0.2">
      <c r="A51" s="36" t="s">
        <v>138</v>
      </c>
      <c r="B51" s="5">
        <f>QgBot*1000000000</f>
        <v>41</v>
      </c>
      <c r="C51" s="473" t="s">
        <v>136</v>
      </c>
      <c r="D51" s="34" t="s">
        <v>180</v>
      </c>
      <c r="G51">
        <v>42</v>
      </c>
      <c r="H51">
        <f t="shared" si="0"/>
        <v>4.2</v>
      </c>
      <c r="I51" s="463">
        <f t="shared" si="1"/>
        <v>0.49285666666666672</v>
      </c>
      <c r="J51" s="464">
        <f t="shared" si="2"/>
        <v>8.0171351111111111</v>
      </c>
      <c r="K51" s="464">
        <f t="shared" si="31"/>
        <v>8.2085675555555557</v>
      </c>
      <c r="L51" s="464">
        <f t="shared" si="32"/>
        <v>0.19143244444444463</v>
      </c>
      <c r="M51" s="77">
        <f t="shared" si="3"/>
        <v>0</v>
      </c>
      <c r="N51" s="463">
        <f t="shared" si="46"/>
        <v>4.7954358108327906</v>
      </c>
      <c r="O51" s="463">
        <f t="shared" si="5"/>
        <v>0.11604849303556901</v>
      </c>
      <c r="P51">
        <f t="shared" si="6"/>
        <v>0.5</v>
      </c>
      <c r="Q51" s="463">
        <f t="shared" si="34"/>
        <v>0.61604849303556897</v>
      </c>
      <c r="R51" s="9">
        <f t="shared" si="39"/>
        <v>2.3143475572648002</v>
      </c>
      <c r="S51" s="9">
        <f t="shared" si="7"/>
        <v>1.6068613847452645E-2</v>
      </c>
      <c r="T51" s="9">
        <f t="shared" si="40"/>
        <v>1.6068613847452645E-2</v>
      </c>
      <c r="U51" s="463">
        <f t="shared" si="47"/>
        <v>3.3665758201674958</v>
      </c>
      <c r="V51" s="465">
        <f t="shared" si="9"/>
        <v>0.11333832752936447</v>
      </c>
      <c r="W51" s="463">
        <f t="shared" si="41"/>
        <v>0.11333832752936447</v>
      </c>
      <c r="X51" s="463">
        <f t="shared" si="48"/>
        <v>3.3665758201674958</v>
      </c>
      <c r="Y51" s="463">
        <f t="shared" si="11"/>
        <v>2.0400898955285605E-2</v>
      </c>
      <c r="Z51" s="463">
        <f t="shared" si="12"/>
        <v>0.38205023886660211</v>
      </c>
      <c r="AA51" s="463">
        <f t="shared" si="13"/>
        <v>2.9999999999999992E-2</v>
      </c>
      <c r="AB51" s="463">
        <f t="shared" si="14"/>
        <v>0</v>
      </c>
      <c r="AC51" s="463">
        <f t="shared" si="49"/>
        <v>0.43422284509927711</v>
      </c>
      <c r="AD51" s="463">
        <f t="shared" si="50"/>
        <v>3.415021502550327</v>
      </c>
      <c r="AE51" s="463">
        <f t="shared" si="17"/>
        <v>2.0992269353185967E-2</v>
      </c>
      <c r="AF51" s="463">
        <f t="shared" si="18"/>
        <v>0.1008</v>
      </c>
      <c r="AG51" s="463">
        <f t="shared" si="51"/>
        <v>0.12230576446339857</v>
      </c>
      <c r="AH51" s="463">
        <f t="shared" si="52"/>
        <v>0</v>
      </c>
      <c r="AI51">
        <f t="shared" si="21"/>
        <v>0</v>
      </c>
      <c r="AJ51" s="464">
        <f t="shared" si="22"/>
        <v>0.43186391999999996</v>
      </c>
      <c r="AK51">
        <f t="shared" si="23"/>
        <v>7.2000000000000008E-2</v>
      </c>
      <c r="AL51" s="464">
        <f t="shared" si="24"/>
        <v>0.98399999999999999</v>
      </c>
      <c r="AM51" s="464">
        <f t="shared" si="25"/>
        <v>0.82265384615384629</v>
      </c>
      <c r="AN51" s="464">
        <f t="shared" si="42"/>
        <v>1.056</v>
      </c>
      <c r="AO51" s="464">
        <f t="shared" si="53"/>
        <v>2.7898479639750615</v>
      </c>
      <c r="AP51" s="100">
        <f t="shared" si="27"/>
        <v>49.56</v>
      </c>
      <c r="AQ51" s="10">
        <f t="shared" si="43"/>
        <v>0.94670762050932955</v>
      </c>
      <c r="AR51" s="77">
        <f t="shared" si="54"/>
        <v>21.711142254963857</v>
      </c>
      <c r="AS51" s="77">
        <f t="shared" si="44"/>
        <v>6.1152882231699284</v>
      </c>
      <c r="AT51" s="10"/>
      <c r="AU51">
        <f t="shared" si="45"/>
        <v>94.67076205093295</v>
      </c>
      <c r="BD51">
        <v>9.9964639999999996</v>
      </c>
      <c r="BE51">
        <v>10.493</v>
      </c>
      <c r="BF51">
        <v>5.1092279999999999</v>
      </c>
      <c r="BG51">
        <v>89.626660259106615</v>
      </c>
      <c r="BH51">
        <v>6204.9221585439973</v>
      </c>
    </row>
    <row r="52" spans="1:60" x14ac:dyDescent="0.2">
      <c r="A52" s="36" t="s">
        <v>169</v>
      </c>
      <c r="B52" s="5">
        <f>RGateBot</f>
        <v>1</v>
      </c>
      <c r="C52" s="472" t="s">
        <v>208</v>
      </c>
      <c r="D52" s="34" t="s">
        <v>181</v>
      </c>
      <c r="G52">
        <v>43</v>
      </c>
      <c r="H52">
        <f t="shared" si="0"/>
        <v>4.3</v>
      </c>
      <c r="I52" s="463">
        <f t="shared" si="1"/>
        <v>0.49288500000000002</v>
      </c>
      <c r="J52" s="464">
        <f t="shared" si="2"/>
        <v>8.0175959999999993</v>
      </c>
      <c r="K52" s="464">
        <f t="shared" si="31"/>
        <v>8.3087979999999995</v>
      </c>
      <c r="L52" s="464">
        <f t="shared" si="32"/>
        <v>0.29120200000000018</v>
      </c>
      <c r="M52" s="77">
        <f t="shared" si="3"/>
        <v>0</v>
      </c>
      <c r="N52" s="463">
        <f t="shared" si="46"/>
        <v>4.883320639510373</v>
      </c>
      <c r="O52" s="463">
        <f t="shared" si="5"/>
        <v>0.12038239730779549</v>
      </c>
      <c r="P52">
        <f t="shared" si="6"/>
        <v>0.5</v>
      </c>
      <c r="Q52" s="463">
        <f t="shared" si="34"/>
        <v>0.62038239730779554</v>
      </c>
      <c r="R52" s="9">
        <f t="shared" si="39"/>
        <v>2.3144806044268331</v>
      </c>
      <c r="S52" s="9">
        <f t="shared" si="7"/>
        <v>1.6070461404803997E-2</v>
      </c>
      <c r="T52" s="9">
        <f t="shared" si="40"/>
        <v>1.6070461404803997E-2</v>
      </c>
      <c r="U52" s="463">
        <f t="shared" si="47"/>
        <v>3.4283728073974498</v>
      </c>
      <c r="V52" s="465">
        <f t="shared" si="9"/>
        <v>0.11753740106502271</v>
      </c>
      <c r="W52" s="463">
        <f t="shared" si="41"/>
        <v>0.11753740106502271</v>
      </c>
      <c r="X52" s="463">
        <f t="shared" si="48"/>
        <v>3.4283728073974498</v>
      </c>
      <c r="Y52" s="463">
        <f t="shared" si="11"/>
        <v>2.1156732191704088E-2</v>
      </c>
      <c r="Z52" s="463">
        <f t="shared" si="12"/>
        <v>0.38896456600673912</v>
      </c>
      <c r="AA52" s="463">
        <f t="shared" si="13"/>
        <v>2.9999999999999992E-2</v>
      </c>
      <c r="AB52" s="463">
        <f t="shared" si="14"/>
        <v>0</v>
      </c>
      <c r="AC52" s="463">
        <f t="shared" si="49"/>
        <v>0.44199151743150383</v>
      </c>
      <c r="AD52" s="463">
        <f t="shared" si="50"/>
        <v>3.4775106558809745</v>
      </c>
      <c r="AE52" s="463">
        <f t="shared" si="17"/>
        <v>2.1767544651178306E-2</v>
      </c>
      <c r="AF52" s="463">
        <f t="shared" si="18"/>
        <v>0.1032</v>
      </c>
      <c r="AG52" s="463">
        <f t="shared" si="51"/>
        <v>0.1255139708441175</v>
      </c>
      <c r="AH52" s="463">
        <f t="shared" si="52"/>
        <v>0</v>
      </c>
      <c r="AI52">
        <f t="shared" si="21"/>
        <v>0</v>
      </c>
      <c r="AJ52" s="464">
        <f t="shared" si="22"/>
        <v>0.43186068</v>
      </c>
      <c r="AK52">
        <f t="shared" si="23"/>
        <v>7.2000000000000008E-2</v>
      </c>
      <c r="AL52" s="464">
        <f t="shared" si="24"/>
        <v>0.98399999999999999</v>
      </c>
      <c r="AM52" s="464">
        <f t="shared" si="25"/>
        <v>0.82265384615384629</v>
      </c>
      <c r="AN52" s="464">
        <f t="shared" si="42"/>
        <v>1.056</v>
      </c>
      <c r="AO52" s="464">
        <f t="shared" si="53"/>
        <v>2.8093564280532437</v>
      </c>
      <c r="AP52" s="100">
        <f t="shared" si="27"/>
        <v>50.74</v>
      </c>
      <c r="AQ52" s="10">
        <f t="shared" si="43"/>
        <v>0.94753706458026665</v>
      </c>
      <c r="AR52" s="77">
        <f t="shared" si="54"/>
        <v>22.09957587157519</v>
      </c>
      <c r="AS52" s="77">
        <f t="shared" si="44"/>
        <v>6.2756985422058751</v>
      </c>
      <c r="AT52" s="10"/>
      <c r="AU52">
        <f t="shared" si="45"/>
        <v>94.75370645802667</v>
      </c>
      <c r="BD52">
        <v>9.9959819999999997</v>
      </c>
      <c r="BE52">
        <v>11.519</v>
      </c>
      <c r="BF52">
        <v>5.1101260000000002</v>
      </c>
      <c r="BG52">
        <v>88.591390420220321</v>
      </c>
      <c r="BH52">
        <v>7580.3207309739973</v>
      </c>
    </row>
    <row r="53" spans="1:60" x14ac:dyDescent="0.2">
      <c r="A53" s="36" t="s">
        <v>144</v>
      </c>
      <c r="B53" s="5">
        <f>VsdBot</f>
        <v>0.8</v>
      </c>
      <c r="C53" s="473" t="s">
        <v>0</v>
      </c>
      <c r="D53" s="34" t="s">
        <v>186</v>
      </c>
      <c r="G53">
        <v>44</v>
      </c>
      <c r="H53">
        <f t="shared" si="0"/>
        <v>4.4000000000000004</v>
      </c>
      <c r="I53" s="463">
        <f t="shared" si="1"/>
        <v>0.49291333333333337</v>
      </c>
      <c r="J53" s="464">
        <f t="shared" si="2"/>
        <v>8.0180568888888892</v>
      </c>
      <c r="K53" s="464">
        <f t="shared" si="31"/>
        <v>8.409028444444445</v>
      </c>
      <c r="L53" s="464">
        <f t="shared" si="32"/>
        <v>0.39097155555555574</v>
      </c>
      <c r="M53" s="77">
        <f t="shared" si="3"/>
        <v>0</v>
      </c>
      <c r="N53" s="463">
        <f t="shared" si="46"/>
        <v>4.9716633389763585</v>
      </c>
      <c r="O53" s="463">
        <f t="shared" si="5"/>
        <v>0.12482128666421251</v>
      </c>
      <c r="P53">
        <f t="shared" si="6"/>
        <v>0.5</v>
      </c>
      <c r="Q53" s="463">
        <f t="shared" si="34"/>
        <v>0.62482128666421255</v>
      </c>
      <c r="R53" s="9">
        <f t="shared" si="39"/>
        <v>2.3146136515888669</v>
      </c>
      <c r="S53" s="9">
        <f t="shared" si="7"/>
        <v>1.6072309068364644E-2</v>
      </c>
      <c r="T53" s="9">
        <f t="shared" si="40"/>
        <v>1.6072309068364644E-2</v>
      </c>
      <c r="U53" s="463">
        <f t="shared" si="47"/>
        <v>3.4904947995592823</v>
      </c>
      <c r="V53" s="465">
        <f t="shared" si="9"/>
        <v>0.12183553945750396</v>
      </c>
      <c r="W53" s="463">
        <f t="shared" si="41"/>
        <v>0.12183553945750396</v>
      </c>
      <c r="X53" s="463">
        <f t="shared" si="48"/>
        <v>3.4904947995592823</v>
      </c>
      <c r="Y53" s="463">
        <f t="shared" si="11"/>
        <v>2.1930397102350712E-2</v>
      </c>
      <c r="Z53" s="463">
        <f t="shared" si="12"/>
        <v>0.39587889314687619</v>
      </c>
      <c r="AA53" s="463">
        <f t="shared" si="13"/>
        <v>2.9999999999999992E-2</v>
      </c>
      <c r="AB53" s="463">
        <f t="shared" si="14"/>
        <v>0</v>
      </c>
      <c r="AC53" s="463">
        <f t="shared" si="49"/>
        <v>0.44978207013072369</v>
      </c>
      <c r="AD53" s="463">
        <f t="shared" si="50"/>
        <v>3.5403223596688425</v>
      </c>
      <c r="AE53" s="463">
        <f t="shared" si="17"/>
        <v>2.2560988338668091E-2</v>
      </c>
      <c r="AF53" s="463">
        <f t="shared" si="18"/>
        <v>0.10560000000000001</v>
      </c>
      <c r="AG53" s="463">
        <f t="shared" si="51"/>
        <v>0.12874189722707571</v>
      </c>
      <c r="AH53" s="463">
        <f t="shared" si="52"/>
        <v>0</v>
      </c>
      <c r="AI53">
        <f t="shared" si="21"/>
        <v>0</v>
      </c>
      <c r="AJ53" s="464">
        <f t="shared" si="22"/>
        <v>0.43185743999999998</v>
      </c>
      <c r="AK53">
        <f t="shared" si="23"/>
        <v>7.2000000000000008E-2</v>
      </c>
      <c r="AL53" s="464">
        <f t="shared" si="24"/>
        <v>0.98399999999999999</v>
      </c>
      <c r="AM53" s="464">
        <f t="shared" si="25"/>
        <v>0.82265384615384629</v>
      </c>
      <c r="AN53" s="464">
        <f t="shared" si="42"/>
        <v>1.056</v>
      </c>
      <c r="AO53" s="464">
        <f t="shared" si="53"/>
        <v>2.8291105425478804</v>
      </c>
      <c r="AP53" s="100">
        <f t="shared" si="27"/>
        <v>51.920000000000009</v>
      </c>
      <c r="AQ53" s="10">
        <f t="shared" si="43"/>
        <v>0.94832590859445554</v>
      </c>
      <c r="AR53" s="77">
        <f t="shared" si="54"/>
        <v>22.489103506536186</v>
      </c>
      <c r="AS53" s="77">
        <f t="shared" si="44"/>
        <v>6.4370948613537857</v>
      </c>
      <c r="AT53" s="10"/>
      <c r="AU53">
        <f t="shared" si="45"/>
        <v>94.83259085944556</v>
      </c>
      <c r="BD53">
        <v>9.9955739999999995</v>
      </c>
      <c r="BE53">
        <v>12.605</v>
      </c>
      <c r="BF53">
        <v>5.1111979999999999</v>
      </c>
      <c r="BG53">
        <v>87.386508098290477</v>
      </c>
      <c r="BH53">
        <v>9299.4335961019988</v>
      </c>
    </row>
    <row r="54" spans="1:60" x14ac:dyDescent="0.2">
      <c r="A54" s="36" t="s">
        <v>145</v>
      </c>
      <c r="B54" s="5">
        <f>QrrBot*1000000000</f>
        <v>36</v>
      </c>
      <c r="C54" s="473" t="s">
        <v>136</v>
      </c>
      <c r="D54" s="34" t="s">
        <v>196</v>
      </c>
      <c r="E54" s="13"/>
      <c r="G54">
        <v>45</v>
      </c>
      <c r="H54">
        <f t="shared" si="0"/>
        <v>4.5</v>
      </c>
      <c r="I54" s="463">
        <f t="shared" si="1"/>
        <v>0.49294166666666678</v>
      </c>
      <c r="J54" s="464">
        <f t="shared" si="2"/>
        <v>8.0185177777777792</v>
      </c>
      <c r="K54" s="464">
        <f t="shared" si="31"/>
        <v>8.5092588888888905</v>
      </c>
      <c r="L54" s="464">
        <f t="shared" si="32"/>
        <v>0.49074111111111041</v>
      </c>
      <c r="M54" s="77">
        <f t="shared" si="3"/>
        <v>0</v>
      </c>
      <c r="N54" s="463">
        <f t="shared" si="46"/>
        <v>5.0604399294308582</v>
      </c>
      <c r="O54" s="463">
        <f t="shared" si="5"/>
        <v>0.12936537955803648</v>
      </c>
      <c r="P54">
        <f t="shared" si="6"/>
        <v>0.5</v>
      </c>
      <c r="Q54" s="463">
        <f t="shared" si="34"/>
        <v>0.62936537955803651</v>
      </c>
      <c r="R54" s="9">
        <f t="shared" si="39"/>
        <v>2.3147466987509002</v>
      </c>
      <c r="S54" s="9">
        <f t="shared" si="7"/>
        <v>1.6074156838134571E-2</v>
      </c>
      <c r="T54" s="9">
        <f t="shared" si="40"/>
        <v>1.6074156838134571E-2</v>
      </c>
      <c r="U54" s="463">
        <f t="shared" si="47"/>
        <v>3.552924988046303</v>
      </c>
      <c r="V54" s="465">
        <f t="shared" si="9"/>
        <v>0.12623275970683823</v>
      </c>
      <c r="W54" s="463">
        <f t="shared" si="41"/>
        <v>0.12623275970683823</v>
      </c>
      <c r="X54" s="463">
        <f t="shared" si="48"/>
        <v>3.552924988046303</v>
      </c>
      <c r="Y54" s="463">
        <f t="shared" si="11"/>
        <v>2.272189674723088E-2</v>
      </c>
      <c r="Z54" s="463">
        <f t="shared" si="12"/>
        <v>0.40279322028701325</v>
      </c>
      <c r="AA54" s="463">
        <f t="shared" si="13"/>
        <v>2.9999999999999992E-2</v>
      </c>
      <c r="AB54" s="463">
        <f t="shared" si="14"/>
        <v>0</v>
      </c>
      <c r="AC54" s="463">
        <f t="shared" si="49"/>
        <v>0.45759460048711581</v>
      </c>
      <c r="AD54" s="463">
        <f t="shared" si="50"/>
        <v>3.6034395108971049</v>
      </c>
      <c r="AE54" s="463">
        <f t="shared" si="17"/>
        <v>2.3372597355649859E-2</v>
      </c>
      <c r="AF54" s="463">
        <f t="shared" si="18"/>
        <v>0.108</v>
      </c>
      <c r="AG54" s="463">
        <f t="shared" si="51"/>
        <v>0.13198958524184926</v>
      </c>
      <c r="AH54" s="463">
        <f t="shared" si="52"/>
        <v>0</v>
      </c>
      <c r="AI54">
        <f t="shared" si="21"/>
        <v>0</v>
      </c>
      <c r="AJ54" s="464">
        <f t="shared" si="22"/>
        <v>0.43185419999999997</v>
      </c>
      <c r="AK54">
        <f t="shared" si="23"/>
        <v>7.2000000000000008E-2</v>
      </c>
      <c r="AL54" s="464">
        <f t="shared" si="24"/>
        <v>0.98399999999999999</v>
      </c>
      <c r="AM54" s="464">
        <f t="shared" si="25"/>
        <v>0.82265384615384629</v>
      </c>
      <c r="AN54" s="464">
        <f t="shared" si="42"/>
        <v>1.056</v>
      </c>
      <c r="AO54" s="464">
        <f t="shared" si="53"/>
        <v>2.8491106818319745</v>
      </c>
      <c r="AP54" s="100">
        <f t="shared" si="27"/>
        <v>53.1</v>
      </c>
      <c r="AQ54" s="10">
        <f t="shared" si="43"/>
        <v>0.9490767476531643</v>
      </c>
      <c r="AR54" s="77">
        <f t="shared" si="54"/>
        <v>22.879730024355791</v>
      </c>
      <c r="AS54" s="77">
        <f t="shared" si="44"/>
        <v>6.5994792620924629</v>
      </c>
      <c r="AT54" s="10"/>
      <c r="AU54">
        <f t="shared" si="45"/>
        <v>94.907674765316429</v>
      </c>
      <c r="BD54">
        <v>9.9949670000000008</v>
      </c>
      <c r="BE54">
        <v>13.75</v>
      </c>
      <c r="BF54">
        <v>5.1122329999999998</v>
      </c>
      <c r="BG54">
        <v>85.985113444924963</v>
      </c>
      <c r="BH54">
        <v>11457.230537720005</v>
      </c>
    </row>
    <row r="55" spans="1:60" x14ac:dyDescent="0.2">
      <c r="A55" s="36" t="s">
        <v>146</v>
      </c>
      <c r="B55" s="5">
        <f>TrrBot*1000000000</f>
        <v>40</v>
      </c>
      <c r="C55" s="473" t="s">
        <v>147</v>
      </c>
      <c r="D55" s="34" t="s">
        <v>187</v>
      </c>
      <c r="E55" s="13"/>
      <c r="G55">
        <v>46</v>
      </c>
      <c r="H55">
        <f t="shared" si="0"/>
        <v>4.6000000000000005</v>
      </c>
      <c r="I55" s="463">
        <f t="shared" si="1"/>
        <v>0.49296999999999996</v>
      </c>
      <c r="J55" s="464">
        <f t="shared" si="2"/>
        <v>8.0189786666666656</v>
      </c>
      <c r="K55" s="464">
        <f t="shared" si="31"/>
        <v>8.6094893333333324</v>
      </c>
      <c r="L55" s="464">
        <f t="shared" si="32"/>
        <v>0.59051066666666774</v>
      </c>
      <c r="M55" s="77">
        <f t="shared" si="3"/>
        <v>0</v>
      </c>
      <c r="N55" s="463">
        <f t="shared" si="46"/>
        <v>5.1496279708380808</v>
      </c>
      <c r="O55" s="463">
        <f t="shared" si="5"/>
        <v>0.13401489985749962</v>
      </c>
      <c r="P55">
        <f t="shared" si="6"/>
        <v>0.5</v>
      </c>
      <c r="Q55" s="463">
        <f t="shared" si="34"/>
        <v>0.63401489985749959</v>
      </c>
      <c r="R55" s="9">
        <f t="shared" si="39"/>
        <v>2.3148797459129331</v>
      </c>
      <c r="S55" s="9">
        <f t="shared" si="7"/>
        <v>1.607600471411378E-2</v>
      </c>
      <c r="T55" s="9">
        <f t="shared" si="40"/>
        <v>1.607600471411378E-2</v>
      </c>
      <c r="U55" s="463">
        <f t="shared" si="47"/>
        <v>3.6156476434112816</v>
      </c>
      <c r="V55" s="465">
        <f t="shared" si="9"/>
        <v>0.13072907881305554</v>
      </c>
      <c r="W55" s="463">
        <f t="shared" si="41"/>
        <v>0.13072907881305554</v>
      </c>
      <c r="X55" s="463">
        <f t="shared" si="48"/>
        <v>3.6156476434112816</v>
      </c>
      <c r="Y55" s="463">
        <f t="shared" si="11"/>
        <v>2.3531234186349996E-2</v>
      </c>
      <c r="Z55" s="463">
        <f t="shared" si="12"/>
        <v>0.40970754742715015</v>
      </c>
      <c r="AA55" s="463">
        <f t="shared" si="13"/>
        <v>2.9999999999999992E-2</v>
      </c>
      <c r="AB55" s="463">
        <f t="shared" si="14"/>
        <v>0</v>
      </c>
      <c r="AC55" s="463">
        <f t="shared" si="49"/>
        <v>0.46542920634382884</v>
      </c>
      <c r="AD55" s="463">
        <f t="shared" si="50"/>
        <v>3.6668461048607388</v>
      </c>
      <c r="AE55" s="463">
        <f t="shared" si="17"/>
        <v>2.4202368642118267E-2</v>
      </c>
      <c r="AF55" s="463">
        <f t="shared" si="18"/>
        <v>0.1104</v>
      </c>
      <c r="AG55" s="463">
        <f t="shared" si="51"/>
        <v>0.13525707696977385</v>
      </c>
      <c r="AH55" s="463">
        <f t="shared" si="52"/>
        <v>0</v>
      </c>
      <c r="AI55">
        <f t="shared" si="21"/>
        <v>0</v>
      </c>
      <c r="AJ55" s="464">
        <f t="shared" si="22"/>
        <v>0.43185096000000001</v>
      </c>
      <c r="AK55">
        <f t="shared" si="23"/>
        <v>7.2000000000000008E-2</v>
      </c>
      <c r="AL55" s="464">
        <f t="shared" si="24"/>
        <v>0.98399999999999999</v>
      </c>
      <c r="AM55" s="464">
        <f t="shared" si="25"/>
        <v>0.82265384615384629</v>
      </c>
      <c r="AN55" s="464">
        <f t="shared" si="42"/>
        <v>1.056</v>
      </c>
      <c r="AO55" s="464">
        <f t="shared" si="53"/>
        <v>2.8693572266982716</v>
      </c>
      <c r="AP55" s="100">
        <f t="shared" si="27"/>
        <v>54.280000000000008</v>
      </c>
      <c r="AQ55" s="10">
        <f t="shared" si="43"/>
        <v>0.9497919597710226</v>
      </c>
      <c r="AR55" s="77">
        <f t="shared" si="54"/>
        <v>23.27146031719144</v>
      </c>
      <c r="AS55" s="77">
        <f t="shared" si="44"/>
        <v>6.7628538484886924</v>
      </c>
      <c r="AT55" s="10"/>
      <c r="AU55">
        <f t="shared" si="45"/>
        <v>94.979195977102265</v>
      </c>
      <c r="BD55">
        <v>9.9943860000000004</v>
      </c>
      <c r="BE55">
        <v>14.954000000000001</v>
      </c>
      <c r="BF55">
        <v>5.1130310000000003</v>
      </c>
      <c r="BG55">
        <v>84.352650264578628</v>
      </c>
      <c r="BH55">
        <v>14183.318533699994</v>
      </c>
    </row>
    <row r="56" spans="1:60" x14ac:dyDescent="0.2">
      <c r="A56" s="36" t="s">
        <v>160</v>
      </c>
      <c r="B56" s="5">
        <f>ThetaJaBot</f>
        <v>50</v>
      </c>
      <c r="C56" s="473" t="s">
        <v>381</v>
      </c>
      <c r="D56" s="34" t="s">
        <v>184</v>
      </c>
      <c r="E56" s="62"/>
      <c r="G56">
        <v>47</v>
      </c>
      <c r="H56">
        <f t="shared" si="0"/>
        <v>4.6999999999999993</v>
      </c>
      <c r="I56" s="463">
        <f t="shared" si="1"/>
        <v>0.49299833333333337</v>
      </c>
      <c r="J56" s="464">
        <f t="shared" si="2"/>
        <v>8.0194395555555555</v>
      </c>
      <c r="K56" s="464">
        <f t="shared" si="31"/>
        <v>8.7097197777777779</v>
      </c>
      <c r="L56" s="464">
        <f t="shared" si="32"/>
        <v>0.69028022222222152</v>
      </c>
      <c r="M56" s="77">
        <f t="shared" si="3"/>
        <v>0</v>
      </c>
      <c r="N56" s="463">
        <f t="shared" si="46"/>
        <v>5.2392064506087896</v>
      </c>
      <c r="O56" s="463">
        <f t="shared" si="5"/>
        <v>0.13877007687371054</v>
      </c>
      <c r="P56">
        <f t="shared" si="6"/>
        <v>0.5</v>
      </c>
      <c r="Q56" s="463">
        <f t="shared" si="34"/>
        <v>0.63877007687371057</v>
      </c>
      <c r="R56" s="9">
        <f t="shared" si="39"/>
        <v>2.3150127930749664</v>
      </c>
      <c r="S56" s="9">
        <f t="shared" si="7"/>
        <v>1.6077852696302273E-2</v>
      </c>
      <c r="T56" s="9">
        <f t="shared" si="40"/>
        <v>1.6077852696302273E-2</v>
      </c>
      <c r="U56" s="463">
        <f t="shared" si="47"/>
        <v>3.6786480366594758</v>
      </c>
      <c r="V56" s="465">
        <f t="shared" si="9"/>
        <v>0.13532451377618615</v>
      </c>
      <c r="W56" s="463">
        <f t="shared" si="41"/>
        <v>0.13532451377618615</v>
      </c>
      <c r="X56" s="463">
        <f t="shared" si="48"/>
        <v>3.6786480366594758</v>
      </c>
      <c r="Y56" s="463">
        <f t="shared" si="11"/>
        <v>2.4358412479713508E-2</v>
      </c>
      <c r="Z56" s="463">
        <f t="shared" si="12"/>
        <v>0.41662187456728722</v>
      </c>
      <c r="AA56" s="463">
        <f t="shared" si="13"/>
        <v>2.9999999999999992E-2</v>
      </c>
      <c r="AB56" s="463">
        <f t="shared" si="14"/>
        <v>0</v>
      </c>
      <c r="AC56" s="463">
        <f t="shared" si="49"/>
        <v>0.4732859861010642</v>
      </c>
      <c r="AD56" s="463">
        <f t="shared" si="50"/>
        <v>3.7305271550388337</v>
      </c>
      <c r="AE56" s="463">
        <f t="shared" si="17"/>
        <v>2.505029913806784E-2</v>
      </c>
      <c r="AF56" s="463">
        <f t="shared" si="18"/>
        <v>0.11279999999999998</v>
      </c>
      <c r="AG56" s="463">
        <f t="shared" si="51"/>
        <v>0.13854441494572764</v>
      </c>
      <c r="AH56" s="463">
        <f t="shared" si="52"/>
        <v>0</v>
      </c>
      <c r="AI56">
        <f t="shared" si="21"/>
        <v>0</v>
      </c>
      <c r="AJ56" s="464">
        <f t="shared" si="22"/>
        <v>0.43184771999999999</v>
      </c>
      <c r="AK56">
        <f t="shared" si="23"/>
        <v>7.2000000000000008E-2</v>
      </c>
      <c r="AL56" s="464">
        <f t="shared" si="24"/>
        <v>0.98399999999999999</v>
      </c>
      <c r="AM56" s="464">
        <f t="shared" si="25"/>
        <v>0.82265384615384629</v>
      </c>
      <c r="AN56" s="464">
        <f t="shared" si="42"/>
        <v>1.056</v>
      </c>
      <c r="AO56" s="464">
        <f t="shared" si="53"/>
        <v>2.8898505643929906</v>
      </c>
      <c r="AP56" s="100">
        <f t="shared" si="27"/>
        <v>55.459999999999994</v>
      </c>
      <c r="AQ56" s="10">
        <f t="shared" si="43"/>
        <v>0.95047372809971731</v>
      </c>
      <c r="AR56" s="77">
        <f t="shared" si="54"/>
        <v>23.664299305053209</v>
      </c>
      <c r="AS56" s="77">
        <f t="shared" si="44"/>
        <v>6.9272207472863823</v>
      </c>
      <c r="AT56" s="10"/>
      <c r="AU56">
        <f t="shared" si="45"/>
        <v>95.047372809971733</v>
      </c>
      <c r="BE56" s="31"/>
      <c r="BF56" s="32"/>
    </row>
    <row r="57" spans="1:60" x14ac:dyDescent="0.2">
      <c r="A57" s="37" t="s">
        <v>364</v>
      </c>
      <c r="B57" s="28" t="s">
        <v>201</v>
      </c>
      <c r="C57" s="37" t="s">
        <v>148</v>
      </c>
      <c r="D57" s="542" t="s">
        <v>391</v>
      </c>
      <c r="E57" s="53"/>
      <c r="G57">
        <v>48</v>
      </c>
      <c r="H57">
        <f t="shared" si="0"/>
        <v>4.8</v>
      </c>
      <c r="I57" s="463">
        <f t="shared" si="1"/>
        <v>0.49302666666666667</v>
      </c>
      <c r="J57" s="464">
        <f t="shared" si="2"/>
        <v>8.0199004444444437</v>
      </c>
      <c r="K57" s="464">
        <f t="shared" si="31"/>
        <v>8.8099502222222217</v>
      </c>
      <c r="L57" s="464">
        <f t="shared" si="32"/>
        <v>0.79004977777777796</v>
      </c>
      <c r="M57" s="77">
        <f t="shared" si="3"/>
        <v>0</v>
      </c>
      <c r="N57" s="463">
        <f t="shared" si="46"/>
        <v>5.3291556799897188</v>
      </c>
      <c r="O57" s="463">
        <f t="shared" si="5"/>
        <v>0.14363114538923699</v>
      </c>
      <c r="P57">
        <f t="shared" si="6"/>
        <v>0.5</v>
      </c>
      <c r="Q57" s="463">
        <f t="shared" si="34"/>
        <v>0.64363114538923694</v>
      </c>
      <c r="R57" s="9">
        <f t="shared" si="39"/>
        <v>2.3151458402369998</v>
      </c>
      <c r="S57" s="9">
        <f t="shared" si="7"/>
        <v>1.607970078470005E-2</v>
      </c>
      <c r="T57" s="9">
        <f t="shared" si="40"/>
        <v>1.607970078470005E-2</v>
      </c>
      <c r="U57" s="463">
        <f t="shared" si="47"/>
        <v>3.7419123666416905</v>
      </c>
      <c r="V57" s="465">
        <f t="shared" si="9"/>
        <v>0.14001908159626017</v>
      </c>
      <c r="W57" s="463">
        <f t="shared" si="41"/>
        <v>0.14001908159626017</v>
      </c>
      <c r="X57" s="463">
        <f t="shared" si="48"/>
        <v>3.7419123666416905</v>
      </c>
      <c r="Y57" s="463">
        <f t="shared" si="11"/>
        <v>2.5203434687326831E-2</v>
      </c>
      <c r="Z57" s="463">
        <f t="shared" si="12"/>
        <v>0.42353620170742434</v>
      </c>
      <c r="AA57" s="463">
        <f t="shared" si="13"/>
        <v>2.9999999999999992E-2</v>
      </c>
      <c r="AB57" s="463">
        <f t="shared" si="14"/>
        <v>0</v>
      </c>
      <c r="AC57" s="463">
        <f t="shared" si="49"/>
        <v>0.48116503872019306</v>
      </c>
      <c r="AD57" s="463">
        <f t="shared" si="50"/>
        <v>3.7944686191798538</v>
      </c>
      <c r="AE57" s="463">
        <f t="shared" si="17"/>
        <v>2.5916385783493198E-2</v>
      </c>
      <c r="AF57" s="463">
        <f t="shared" si="18"/>
        <v>0.1152</v>
      </c>
      <c r="AG57" s="463">
        <f t="shared" si="51"/>
        <v>0.141851642159941</v>
      </c>
      <c r="AH57" s="463">
        <f t="shared" si="52"/>
        <v>0</v>
      </c>
      <c r="AI57">
        <f t="shared" si="21"/>
        <v>0</v>
      </c>
      <c r="AJ57" s="464">
        <f t="shared" si="22"/>
        <v>0.43184447999999998</v>
      </c>
      <c r="AK57">
        <f t="shared" si="23"/>
        <v>7.2000000000000008E-2</v>
      </c>
      <c r="AL57" s="464">
        <f t="shared" si="24"/>
        <v>0.98399999999999999</v>
      </c>
      <c r="AM57" s="464">
        <f t="shared" si="25"/>
        <v>0.82265384615384629</v>
      </c>
      <c r="AN57" s="464">
        <f t="shared" si="42"/>
        <v>1.056</v>
      </c>
      <c r="AO57" s="464">
        <f t="shared" si="53"/>
        <v>2.9105910886503308</v>
      </c>
      <c r="AP57" s="100">
        <f t="shared" si="27"/>
        <v>56.64</v>
      </c>
      <c r="AQ57" s="10">
        <f t="shared" si="43"/>
        <v>0.9511240604762855</v>
      </c>
      <c r="AR57" s="77">
        <f t="shared" si="54"/>
        <v>24.058251936009654</v>
      </c>
      <c r="AS57" s="77">
        <f t="shared" si="44"/>
        <v>7.0925821079970506</v>
      </c>
      <c r="AT57" s="10"/>
      <c r="AU57">
        <f t="shared" si="45"/>
        <v>95.112406047628554</v>
      </c>
      <c r="BE57" s="31"/>
      <c r="BF57" s="32"/>
    </row>
    <row r="58" spans="1:60" x14ac:dyDescent="0.2">
      <c r="A58" s="36" t="s">
        <v>365</v>
      </c>
      <c r="B58" s="136">
        <f>VfdSky</f>
        <v>0</v>
      </c>
      <c r="C58" s="473" t="s">
        <v>0</v>
      </c>
      <c r="D58" s="34" t="s">
        <v>368</v>
      </c>
      <c r="E58" s="53"/>
      <c r="G58">
        <v>49</v>
      </c>
      <c r="H58">
        <f t="shared" si="0"/>
        <v>4.9000000000000004</v>
      </c>
      <c r="I58" s="463">
        <f t="shared" si="1"/>
        <v>0.49305500000000002</v>
      </c>
      <c r="J58" s="464">
        <f t="shared" si="2"/>
        <v>8.0203613333333337</v>
      </c>
      <c r="K58" s="464">
        <f t="shared" si="31"/>
        <v>8.9101806666666672</v>
      </c>
      <c r="L58" s="464">
        <f t="shared" si="32"/>
        <v>0.88981933333333352</v>
      </c>
      <c r="M58" s="77">
        <f t="shared" si="3"/>
        <v>0</v>
      </c>
      <c r="N58" s="463">
        <f t="shared" si="46"/>
        <v>5.419457198505742</v>
      </c>
      <c r="O58" s="463">
        <f t="shared" si="5"/>
        <v>0.14859834568741598</v>
      </c>
      <c r="P58">
        <f t="shared" si="6"/>
        <v>0.5</v>
      </c>
      <c r="Q58" s="463">
        <f t="shared" si="34"/>
        <v>0.64859834568741603</v>
      </c>
      <c r="R58" s="9">
        <f t="shared" si="39"/>
        <v>2.3152788873990331</v>
      </c>
      <c r="S58" s="9">
        <f t="shared" si="7"/>
        <v>1.6081548979307116E-2</v>
      </c>
      <c r="T58" s="9">
        <f t="shared" si="40"/>
        <v>1.6081548979307116E-2</v>
      </c>
      <c r="U58" s="463">
        <f t="shared" si="47"/>
        <v>3.8054276930892743</v>
      </c>
      <c r="V58" s="465">
        <f t="shared" si="9"/>
        <v>0.14481279927330756</v>
      </c>
      <c r="W58" s="463">
        <f t="shared" si="41"/>
        <v>0.14481279927330756</v>
      </c>
      <c r="X58" s="463">
        <f t="shared" si="48"/>
        <v>3.8054276930892743</v>
      </c>
      <c r="Y58" s="463">
        <f t="shared" si="11"/>
        <v>2.6066303869195361E-2</v>
      </c>
      <c r="Z58" s="463">
        <f t="shared" si="12"/>
        <v>0.4304505288475613</v>
      </c>
      <c r="AA58" s="463">
        <f t="shared" si="13"/>
        <v>2.9999999999999992E-2</v>
      </c>
      <c r="AB58" s="463">
        <f t="shared" si="14"/>
        <v>0</v>
      </c>
      <c r="AC58" s="463">
        <f t="shared" si="49"/>
        <v>0.48906646372790952</v>
      </c>
      <c r="AD58" s="463">
        <f t="shared" si="50"/>
        <v>3.8586573311328056</v>
      </c>
      <c r="AE58" s="463">
        <f t="shared" si="17"/>
        <v>2.6800625518388903E-2</v>
      </c>
      <c r="AF58" s="463">
        <f t="shared" si="18"/>
        <v>0.11760000000000001</v>
      </c>
      <c r="AG58" s="463">
        <f t="shared" si="51"/>
        <v>0.14517880205983169</v>
      </c>
      <c r="AH58" s="463">
        <f t="shared" si="52"/>
        <v>0</v>
      </c>
      <c r="AI58">
        <f t="shared" si="21"/>
        <v>0</v>
      </c>
      <c r="AJ58" s="464">
        <f t="shared" si="22"/>
        <v>0.43184123999999996</v>
      </c>
      <c r="AK58">
        <f t="shared" si="23"/>
        <v>7.2000000000000008E-2</v>
      </c>
      <c r="AL58" s="464">
        <f t="shared" si="24"/>
        <v>0.98399999999999999</v>
      </c>
      <c r="AM58" s="464">
        <f t="shared" si="25"/>
        <v>0.82265384615384629</v>
      </c>
      <c r="AN58" s="464">
        <f t="shared" si="42"/>
        <v>1.056</v>
      </c>
      <c r="AO58" s="464">
        <f t="shared" si="53"/>
        <v>2.9315791997277723</v>
      </c>
      <c r="AP58" s="100">
        <f t="shared" si="27"/>
        <v>57.820000000000007</v>
      </c>
      <c r="AQ58" s="10">
        <f t="shared" si="43"/>
        <v>0.95174480666436889</v>
      </c>
      <c r="AR58" s="77">
        <f t="shared" si="54"/>
        <v>24.453323186395476</v>
      </c>
      <c r="AS58" s="77">
        <f t="shared" si="44"/>
        <v>7.2589401029915841</v>
      </c>
      <c r="AT58" s="10"/>
      <c r="AU58">
        <f t="shared" si="45"/>
        <v>95.174480666436892</v>
      </c>
      <c r="BE58" s="31"/>
      <c r="BF58" s="32"/>
    </row>
    <row r="59" spans="1:60" x14ac:dyDescent="0.2">
      <c r="A59" s="36" t="s">
        <v>366</v>
      </c>
      <c r="B59" s="136">
        <f>QrrSky</f>
        <v>0</v>
      </c>
      <c r="C59" s="473" t="s">
        <v>136</v>
      </c>
      <c r="D59" s="34" t="s">
        <v>369</v>
      </c>
      <c r="E59" s="53"/>
      <c r="G59">
        <v>50</v>
      </c>
      <c r="H59">
        <f t="shared" si="0"/>
        <v>5</v>
      </c>
      <c r="I59" s="463">
        <f t="shared" si="1"/>
        <v>0.49308333333333337</v>
      </c>
      <c r="J59" s="464">
        <f t="shared" si="2"/>
        <v>8.0208222222222219</v>
      </c>
      <c r="K59" s="464">
        <f t="shared" si="31"/>
        <v>9.0104111111111109</v>
      </c>
      <c r="L59" s="464">
        <f t="shared" si="32"/>
        <v>0.98958888888888907</v>
      </c>
      <c r="M59" s="77">
        <f t="shared" si="3"/>
        <v>0</v>
      </c>
      <c r="N59" s="463">
        <f t="shared" si="46"/>
        <v>5.5100936858376395</v>
      </c>
      <c r="O59" s="463">
        <f t="shared" si="5"/>
        <v>0.15367192358239998</v>
      </c>
      <c r="P59">
        <f t="shared" si="6"/>
        <v>0.5</v>
      </c>
      <c r="Q59" s="463">
        <f t="shared" si="34"/>
        <v>0.65367192358240001</v>
      </c>
      <c r="R59" s="9">
        <f t="shared" si="39"/>
        <v>2.315411934561066</v>
      </c>
      <c r="S59" s="9">
        <f t="shared" si="7"/>
        <v>1.6083397280123455E-2</v>
      </c>
      <c r="T59" s="9">
        <f t="shared" si="40"/>
        <v>1.6083397280123455E-2</v>
      </c>
      <c r="U59" s="463">
        <f t="shared" si="47"/>
        <v>3.8691818748587989</v>
      </c>
      <c r="V59" s="465">
        <f t="shared" si="9"/>
        <v>0.14970568380735849</v>
      </c>
      <c r="W59" s="463">
        <f t="shared" si="41"/>
        <v>0.14970568380735849</v>
      </c>
      <c r="X59" s="463">
        <f t="shared" si="48"/>
        <v>3.8691818748587989</v>
      </c>
      <c r="Y59" s="463">
        <f t="shared" si="11"/>
        <v>2.6947023085324529E-2</v>
      </c>
      <c r="Z59" s="463">
        <f t="shared" si="12"/>
        <v>0.43736485598769836</v>
      </c>
      <c r="AA59" s="463">
        <f t="shared" si="13"/>
        <v>2.9999999999999992E-2</v>
      </c>
      <c r="AB59" s="463">
        <f t="shared" si="14"/>
        <v>0</v>
      </c>
      <c r="AC59" s="463">
        <f t="shared" si="49"/>
        <v>0.49699036122042101</v>
      </c>
      <c r="AD59" s="463">
        <f t="shared" si="50"/>
        <v>3.9230809379838156</v>
      </c>
      <c r="AE59" s="463">
        <f t="shared" si="17"/>
        <v>2.7703015282749554E-2</v>
      </c>
      <c r="AF59" s="463">
        <f t="shared" si="18"/>
        <v>0.12</v>
      </c>
      <c r="AG59" s="463">
        <f t="shared" si="51"/>
        <v>0.14852593855186697</v>
      </c>
      <c r="AH59" s="463">
        <f t="shared" si="52"/>
        <v>0</v>
      </c>
      <c r="AI59">
        <f t="shared" si="21"/>
        <v>0</v>
      </c>
      <c r="AJ59" s="464">
        <f t="shared" si="22"/>
        <v>0.43183799999999994</v>
      </c>
      <c r="AK59">
        <f t="shared" si="23"/>
        <v>7.2000000000000008E-2</v>
      </c>
      <c r="AL59" s="464">
        <f t="shared" si="24"/>
        <v>0.98399999999999999</v>
      </c>
      <c r="AM59" s="464">
        <f t="shared" si="25"/>
        <v>0.82265384615384629</v>
      </c>
      <c r="AN59" s="464">
        <f t="shared" si="42"/>
        <v>1.056</v>
      </c>
      <c r="AO59" s="464">
        <f t="shared" si="53"/>
        <v>2.9528153044421699</v>
      </c>
      <c r="AP59" s="100">
        <f t="shared" si="27"/>
        <v>59</v>
      </c>
      <c r="AQ59" s="10">
        <f t="shared" si="43"/>
        <v>0.95233767359995269</v>
      </c>
      <c r="AR59" s="77">
        <f t="shared" si="54"/>
        <v>24.849518061021051</v>
      </c>
      <c r="AS59" s="77">
        <f t="shared" si="44"/>
        <v>7.4262969275933486</v>
      </c>
      <c r="AT59" s="10"/>
      <c r="AU59">
        <f t="shared" si="45"/>
        <v>95.233767359995269</v>
      </c>
      <c r="BE59" s="31"/>
      <c r="BF59" s="32"/>
    </row>
    <row r="60" spans="1:60" x14ac:dyDescent="0.2">
      <c r="A60" s="36" t="s">
        <v>367</v>
      </c>
      <c r="B60" s="136">
        <f>Ireverse</f>
        <v>0</v>
      </c>
      <c r="C60" s="473" t="s">
        <v>135</v>
      </c>
      <c r="D60" s="34" t="s">
        <v>370</v>
      </c>
      <c r="E60" s="62"/>
      <c r="G60">
        <v>51</v>
      </c>
      <c r="H60">
        <f t="shared" si="0"/>
        <v>5.0999999999999996</v>
      </c>
      <c r="I60" s="463">
        <f t="shared" si="1"/>
        <v>0.49311166666666667</v>
      </c>
      <c r="J60" s="464">
        <f t="shared" si="2"/>
        <v>8.0212831111111118</v>
      </c>
      <c r="K60" s="464">
        <f t="shared" si="31"/>
        <v>9.1106415555555564</v>
      </c>
      <c r="L60" s="464">
        <f t="shared" si="32"/>
        <v>1.0893584444444437</v>
      </c>
      <c r="M60" s="77">
        <f t="shared" si="3"/>
        <v>0</v>
      </c>
      <c r="N60" s="463">
        <f t="shared" si="46"/>
        <v>5.6010488805564824</v>
      </c>
      <c r="O60" s="463">
        <f t="shared" si="5"/>
        <v>0.15885213044994495</v>
      </c>
      <c r="P60">
        <f t="shared" si="6"/>
        <v>0.5</v>
      </c>
      <c r="Q60" s="463">
        <f t="shared" si="34"/>
        <v>0.65885213044994495</v>
      </c>
      <c r="R60" s="9">
        <f t="shared" si="39"/>
        <v>2.3155449817230997</v>
      </c>
      <c r="S60" s="9">
        <f t="shared" si="7"/>
        <v>1.6085245687149093E-2</v>
      </c>
      <c r="T60" s="9">
        <f t="shared" si="40"/>
        <v>1.6085245687149093E-2</v>
      </c>
      <c r="U60" s="463">
        <f t="shared" si="47"/>
        <v>3.9331635129809057</v>
      </c>
      <c r="V60" s="465">
        <f t="shared" si="9"/>
        <v>0.15469775219844301</v>
      </c>
      <c r="W60" s="463">
        <f t="shared" si="41"/>
        <v>0.15469775219844301</v>
      </c>
      <c r="X60" s="463">
        <f t="shared" si="48"/>
        <v>3.9331635129809057</v>
      </c>
      <c r="Y60" s="463">
        <f t="shared" si="11"/>
        <v>2.7845595395719739E-2</v>
      </c>
      <c r="Z60" s="463">
        <f t="shared" si="12"/>
        <v>0.44427918312783543</v>
      </c>
      <c r="AA60" s="463">
        <f t="shared" si="13"/>
        <v>2.9999999999999992E-2</v>
      </c>
      <c r="AB60" s="463">
        <f t="shared" si="14"/>
        <v>0</v>
      </c>
      <c r="AC60" s="463">
        <f t="shared" si="49"/>
        <v>0.50493683186767191</v>
      </c>
      <c r="AD60" s="463">
        <f t="shared" si="50"/>
        <v>3.9877278420848543</v>
      </c>
      <c r="AE60" s="463">
        <f t="shared" si="17"/>
        <v>2.8623552016569711E-2</v>
      </c>
      <c r="AF60" s="463">
        <f t="shared" si="18"/>
        <v>0.12239999999999999</v>
      </c>
      <c r="AG60" s="463">
        <f t="shared" si="51"/>
        <v>0.15189309600345222</v>
      </c>
      <c r="AH60" s="463">
        <f t="shared" si="52"/>
        <v>0</v>
      </c>
      <c r="AI60">
        <f t="shared" si="21"/>
        <v>0</v>
      </c>
      <c r="AJ60" s="464">
        <f t="shared" si="22"/>
        <v>0.43183475999999993</v>
      </c>
      <c r="AK60">
        <f t="shared" si="23"/>
        <v>7.2000000000000008E-2</v>
      </c>
      <c r="AL60" s="464">
        <f t="shared" si="24"/>
        <v>0.98399999999999999</v>
      </c>
      <c r="AM60" s="464">
        <f t="shared" si="25"/>
        <v>0.82265384615384629</v>
      </c>
      <c r="AN60" s="464">
        <f t="shared" si="42"/>
        <v>1.056</v>
      </c>
      <c r="AO60" s="464">
        <f t="shared" si="53"/>
        <v>2.9742998162066607</v>
      </c>
      <c r="AP60" s="100">
        <f t="shared" si="27"/>
        <v>60.18</v>
      </c>
      <c r="AQ60" s="10">
        <f t="shared" si="43"/>
        <v>0.95290423890594078</v>
      </c>
      <c r="AR60" s="77">
        <f t="shared" si="54"/>
        <v>25.246841593383596</v>
      </c>
      <c r="AS60" s="77">
        <f t="shared" si="44"/>
        <v>7.5946548001726111</v>
      </c>
      <c r="AT60" s="10"/>
      <c r="AU60">
        <f t="shared" si="45"/>
        <v>95.290423890594084</v>
      </c>
      <c r="BE60" s="31"/>
      <c r="BF60" s="32"/>
    </row>
    <row r="61" spans="1:60" x14ac:dyDescent="0.2">
      <c r="A61" s="37" t="s">
        <v>209</v>
      </c>
      <c r="B61" s="28" t="s">
        <v>201</v>
      </c>
      <c r="C61" s="37" t="s">
        <v>148</v>
      </c>
      <c r="D61" s="542" t="s">
        <v>391</v>
      </c>
      <c r="E61" s="13"/>
      <c r="G61">
        <v>52</v>
      </c>
      <c r="H61">
        <f t="shared" si="0"/>
        <v>5.2</v>
      </c>
      <c r="I61" s="463">
        <f t="shared" si="1"/>
        <v>0.49313999999999997</v>
      </c>
      <c r="J61" s="464">
        <f t="shared" si="2"/>
        <v>8.021744</v>
      </c>
      <c r="K61" s="464">
        <f t="shared" si="31"/>
        <v>9.2108720000000002</v>
      </c>
      <c r="L61" s="464">
        <f t="shared" si="32"/>
        <v>1.1891280000000002</v>
      </c>
      <c r="M61" s="77">
        <f t="shared" si="3"/>
        <v>0</v>
      </c>
      <c r="N61" s="463">
        <f t="shared" si="46"/>
        <v>5.6923075051740959</v>
      </c>
      <c r="O61" s="463">
        <f t="shared" si="5"/>
        <v>0.16413922325894811</v>
      </c>
      <c r="P61">
        <f t="shared" si="6"/>
        <v>0.5</v>
      </c>
      <c r="Q61" s="463">
        <f t="shared" si="34"/>
        <v>0.66413922325894814</v>
      </c>
      <c r="R61" s="9">
        <f t="shared" si="39"/>
        <v>2.3156780288851326</v>
      </c>
      <c r="S61" s="9">
        <f t="shared" si="7"/>
        <v>1.6087094200384001E-2</v>
      </c>
      <c r="T61" s="9">
        <f t="shared" si="40"/>
        <v>1.6087094200384001E-2</v>
      </c>
      <c r="U61" s="463">
        <f t="shared" si="47"/>
        <v>3.997361898134709</v>
      </c>
      <c r="V61" s="465">
        <f t="shared" si="9"/>
        <v>0.15978902144659124</v>
      </c>
      <c r="W61" s="463">
        <f t="shared" si="41"/>
        <v>0.15978902144659124</v>
      </c>
      <c r="X61" s="463">
        <f t="shared" si="48"/>
        <v>3.997361898134709</v>
      </c>
      <c r="Y61" s="463">
        <f t="shared" si="11"/>
        <v>2.8762023860386423E-2</v>
      </c>
      <c r="Z61" s="463">
        <f t="shared" si="12"/>
        <v>0.45119351026797239</v>
      </c>
      <c r="AA61" s="463">
        <f t="shared" si="13"/>
        <v>2.9999999999999992E-2</v>
      </c>
      <c r="AB61" s="463">
        <f t="shared" si="14"/>
        <v>0</v>
      </c>
      <c r="AC61" s="463">
        <f t="shared" si="49"/>
        <v>0.51290597691760664</v>
      </c>
      <c r="AD61" s="463">
        <f t="shared" si="50"/>
        <v>4.0525871475888362</v>
      </c>
      <c r="AE61" s="463">
        <f t="shared" si="17"/>
        <v>2.9562232659843996E-2</v>
      </c>
      <c r="AF61" s="463">
        <f t="shared" si="18"/>
        <v>0.12480000000000001</v>
      </c>
      <c r="AG61" s="463">
        <f t="shared" si="51"/>
        <v>0.1552803192448462</v>
      </c>
      <c r="AH61" s="463">
        <f t="shared" si="52"/>
        <v>0</v>
      </c>
      <c r="AI61">
        <f t="shared" si="21"/>
        <v>0</v>
      </c>
      <c r="AJ61" s="464">
        <f t="shared" si="22"/>
        <v>0.43183151999999997</v>
      </c>
      <c r="AK61">
        <f t="shared" si="23"/>
        <v>7.2000000000000008E-2</v>
      </c>
      <c r="AL61" s="464">
        <f t="shared" si="24"/>
        <v>0.98399999999999999</v>
      </c>
      <c r="AM61" s="464">
        <f t="shared" si="25"/>
        <v>0.82265384615384629</v>
      </c>
      <c r="AN61" s="464">
        <f t="shared" si="42"/>
        <v>1.056</v>
      </c>
      <c r="AO61" s="464">
        <f t="shared" si="53"/>
        <v>2.9960331550683765</v>
      </c>
      <c r="AP61" s="100">
        <f t="shared" si="27"/>
        <v>61.360000000000007</v>
      </c>
      <c r="AQ61" s="10">
        <f t="shared" si="43"/>
        <v>0.95344596290064487</v>
      </c>
      <c r="AR61" s="77">
        <f t="shared" si="54"/>
        <v>25.645298845880333</v>
      </c>
      <c r="AS61" s="77">
        <f t="shared" si="44"/>
        <v>7.7640159622423095</v>
      </c>
      <c r="AT61" s="10"/>
      <c r="AU61">
        <f t="shared" si="45"/>
        <v>95.344596290064487</v>
      </c>
      <c r="BE61" s="31"/>
      <c r="BF61" s="32"/>
    </row>
    <row r="62" spans="1:60" x14ac:dyDescent="0.2">
      <c r="A62" s="36" t="s">
        <v>210</v>
      </c>
      <c r="B62" s="137">
        <v>20</v>
      </c>
      <c r="C62" s="473" t="s">
        <v>381</v>
      </c>
      <c r="D62" s="34" t="s">
        <v>184</v>
      </c>
      <c r="G62">
        <v>53</v>
      </c>
      <c r="H62">
        <f t="shared" si="0"/>
        <v>5.3000000000000007</v>
      </c>
      <c r="I62" s="463">
        <f t="shared" si="1"/>
        <v>0.49316833333333338</v>
      </c>
      <c r="J62" s="464">
        <f t="shared" si="2"/>
        <v>8.0222048888888882</v>
      </c>
      <c r="K62" s="464">
        <f t="shared" si="31"/>
        <v>9.3111024444444439</v>
      </c>
      <c r="L62" s="464">
        <f t="shared" si="32"/>
        <v>1.2888975555555566</v>
      </c>
      <c r="M62" s="77">
        <f t="shared" si="3"/>
        <v>0</v>
      </c>
      <c r="N62" s="463">
        <f t="shared" si="46"/>
        <v>5.7838551970068144</v>
      </c>
      <c r="O62" s="463">
        <f t="shared" si="5"/>
        <v>0.16953346460374225</v>
      </c>
      <c r="P62">
        <f t="shared" si="6"/>
        <v>0.5</v>
      </c>
      <c r="Q62" s="463">
        <f t="shared" si="34"/>
        <v>0.6695334646037423</v>
      </c>
      <c r="R62" s="9">
        <f t="shared" si="39"/>
        <v>2.315811076047166</v>
      </c>
      <c r="S62" s="9">
        <f t="shared" si="7"/>
        <v>1.60889428198282E-2</v>
      </c>
      <c r="T62" s="9">
        <f t="shared" si="40"/>
        <v>1.60889428198282E-2</v>
      </c>
      <c r="U62" s="463">
        <f t="shared" si="47"/>
        <v>4.0617669621955574</v>
      </c>
      <c r="V62" s="465">
        <f t="shared" si="9"/>
        <v>0.16497950855183327</v>
      </c>
      <c r="W62" s="463">
        <f t="shared" si="41"/>
        <v>0.16497950855183327</v>
      </c>
      <c r="X62" s="463">
        <f t="shared" si="48"/>
        <v>4.0617669621955574</v>
      </c>
      <c r="Y62" s="463">
        <f t="shared" si="11"/>
        <v>2.9696311539329986E-2</v>
      </c>
      <c r="Z62" s="463">
        <f t="shared" si="12"/>
        <v>0.45810783740810945</v>
      </c>
      <c r="AA62" s="463">
        <f t="shared" si="13"/>
        <v>2.9999999999999992E-2</v>
      </c>
      <c r="AB62" s="463">
        <f t="shared" si="14"/>
        <v>0</v>
      </c>
      <c r="AC62" s="463">
        <f t="shared" si="49"/>
        <v>0.52089789820046806</v>
      </c>
      <c r="AD62" s="463">
        <f t="shared" si="50"/>
        <v>4.1176486111322577</v>
      </c>
      <c r="AE62" s="463">
        <f t="shared" si="17"/>
        <v>3.0519054152566939E-2</v>
      </c>
      <c r="AF62" s="463">
        <f t="shared" si="18"/>
        <v>0.12720000000000001</v>
      </c>
      <c r="AG62" s="463">
        <f t="shared" si="51"/>
        <v>0.15868765357110301</v>
      </c>
      <c r="AH62" s="463">
        <f t="shared" si="52"/>
        <v>0</v>
      </c>
      <c r="AI62">
        <f t="shared" si="21"/>
        <v>0</v>
      </c>
      <c r="AJ62" s="464">
        <f t="shared" si="22"/>
        <v>0.43182827999999995</v>
      </c>
      <c r="AK62">
        <f t="shared" si="23"/>
        <v>7.2000000000000008E-2</v>
      </c>
      <c r="AL62" s="464">
        <f t="shared" si="24"/>
        <v>0.98399999999999999</v>
      </c>
      <c r="AM62" s="464">
        <f t="shared" si="25"/>
        <v>0.82265384615384629</v>
      </c>
      <c r="AN62" s="464">
        <f t="shared" si="42"/>
        <v>1.056</v>
      </c>
      <c r="AO62" s="464">
        <f t="shared" si="53"/>
        <v>3.0180157477469747</v>
      </c>
      <c r="AP62" s="100">
        <f t="shared" si="27"/>
        <v>62.540000000000013</v>
      </c>
      <c r="AQ62" s="10">
        <f t="shared" si="43"/>
        <v>0.95396419929243059</v>
      </c>
      <c r="AR62" s="77">
        <f t="shared" si="54"/>
        <v>26.044894910023402</v>
      </c>
      <c r="AS62" s="77">
        <f t="shared" si="44"/>
        <v>7.9343826785551501</v>
      </c>
      <c r="AT62" s="10"/>
      <c r="AU62">
        <f t="shared" si="45"/>
        <v>95.396419929243052</v>
      </c>
      <c r="BE62" s="31"/>
      <c r="BF62" s="32"/>
    </row>
    <row r="63" spans="1:60" x14ac:dyDescent="0.2">
      <c r="A63" s="36" t="s">
        <v>210</v>
      </c>
      <c r="B63" s="137">
        <v>2</v>
      </c>
      <c r="C63" s="473" t="s">
        <v>278</v>
      </c>
      <c r="D63" s="34" t="s">
        <v>184</v>
      </c>
      <c r="G63">
        <v>54</v>
      </c>
      <c r="H63">
        <f t="shared" si="0"/>
        <v>5.4</v>
      </c>
      <c r="I63" s="463">
        <f t="shared" si="1"/>
        <v>0.49319666666666667</v>
      </c>
      <c r="J63" s="464">
        <f t="shared" si="2"/>
        <v>8.0226657777777763</v>
      </c>
      <c r="K63" s="464">
        <f t="shared" si="31"/>
        <v>9.4113328888888894</v>
      </c>
      <c r="L63" s="464">
        <f t="shared" si="32"/>
        <v>1.3886671111111122</v>
      </c>
      <c r="M63" s="77">
        <f t="shared" si="3"/>
        <v>0</v>
      </c>
      <c r="N63" s="463">
        <f t="shared" si="46"/>
        <v>5.8756784443864207</v>
      </c>
      <c r="O63" s="463">
        <f t="shared" si="5"/>
        <v>0.17503512273715582</v>
      </c>
      <c r="P63">
        <f t="shared" si="6"/>
        <v>0.5</v>
      </c>
      <c r="Q63" s="463">
        <f t="shared" si="34"/>
        <v>0.67503512273715582</v>
      </c>
      <c r="R63" s="9">
        <f t="shared" si="39"/>
        <v>2.3159441232091988</v>
      </c>
      <c r="S63" s="9">
        <f t="shared" si="7"/>
        <v>1.6090791545481674E-2</v>
      </c>
      <c r="T63" s="9">
        <f t="shared" si="40"/>
        <v>1.6090791545481674E-2</v>
      </c>
      <c r="U63" s="463">
        <f t="shared" si="47"/>
        <v>4.1263692335296307</v>
      </c>
      <c r="V63" s="465">
        <f t="shared" si="9"/>
        <v>0.17026923051419915</v>
      </c>
      <c r="W63" s="463">
        <f t="shared" si="41"/>
        <v>0.17026923051419915</v>
      </c>
      <c r="X63" s="463">
        <f t="shared" si="48"/>
        <v>4.1263692335296307</v>
      </c>
      <c r="Y63" s="463">
        <f t="shared" si="11"/>
        <v>3.0648461492555845E-2</v>
      </c>
      <c r="Z63" s="463">
        <f t="shared" si="12"/>
        <v>0.46502216454824652</v>
      </c>
      <c r="AA63" s="463">
        <f t="shared" si="13"/>
        <v>2.9999999999999992E-2</v>
      </c>
      <c r="AB63" s="463">
        <f t="shared" si="14"/>
        <v>0</v>
      </c>
      <c r="AC63" s="463">
        <f t="shared" si="49"/>
        <v>0.5289126981331338</v>
      </c>
      <c r="AD63" s="463">
        <f t="shared" si="50"/>
        <v>4.182902596332756</v>
      </c>
      <c r="AE63" s="463">
        <f t="shared" si="17"/>
        <v>3.149401343473316E-2</v>
      </c>
      <c r="AF63" s="463">
        <f t="shared" si="18"/>
        <v>0.12960000000000002</v>
      </c>
      <c r="AG63" s="463">
        <f t="shared" si="51"/>
        <v>0.16211514474404168</v>
      </c>
      <c r="AH63" s="463">
        <f t="shared" si="52"/>
        <v>0</v>
      </c>
      <c r="AI63">
        <f t="shared" si="21"/>
        <v>0</v>
      </c>
      <c r="AJ63" s="464">
        <f t="shared" si="22"/>
        <v>0.43182503999999994</v>
      </c>
      <c r="AK63">
        <f t="shared" si="23"/>
        <v>7.2000000000000008E-2</v>
      </c>
      <c r="AL63" s="464">
        <f t="shared" si="24"/>
        <v>0.98399999999999999</v>
      </c>
      <c r="AM63" s="464">
        <f t="shared" si="25"/>
        <v>0.82265384615384629</v>
      </c>
      <c r="AN63" s="464">
        <f t="shared" si="42"/>
        <v>1.056</v>
      </c>
      <c r="AO63" s="464">
        <f t="shared" si="53"/>
        <v>3.040248027674012</v>
      </c>
      <c r="AP63" s="100">
        <f t="shared" si="27"/>
        <v>63.720000000000006</v>
      </c>
      <c r="AQ63" s="10">
        <f t="shared" si="43"/>
        <v>0.95446020472521687</v>
      </c>
      <c r="AR63" s="77">
        <f t="shared" si="54"/>
        <v>26.445634906656689</v>
      </c>
      <c r="AS63" s="77">
        <f t="shared" si="44"/>
        <v>8.1057572372020843</v>
      </c>
      <c r="AT63" s="10"/>
      <c r="AU63">
        <f t="shared" si="45"/>
        <v>95.446020472521681</v>
      </c>
      <c r="BE63" s="31"/>
      <c r="BF63" s="32"/>
    </row>
    <row r="64" spans="1:60" x14ac:dyDescent="0.2">
      <c r="A64" s="138"/>
      <c r="B64" s="45"/>
      <c r="G64">
        <v>55</v>
      </c>
      <c r="H64">
        <f t="shared" si="0"/>
        <v>5.5</v>
      </c>
      <c r="I64" s="463">
        <f t="shared" si="1"/>
        <v>0.49322500000000002</v>
      </c>
      <c r="J64" s="464">
        <f t="shared" si="2"/>
        <v>8.0231266666666663</v>
      </c>
      <c r="K64" s="464">
        <f t="shared" si="31"/>
        <v>9.5115633333333331</v>
      </c>
      <c r="L64" s="464">
        <f t="shared" si="32"/>
        <v>1.4884366666666669</v>
      </c>
      <c r="M64" s="77">
        <f t="shared" si="3"/>
        <v>0</v>
      </c>
      <c r="N64" s="463">
        <f t="shared" si="46"/>
        <v>5.9677645277871694</v>
      </c>
      <c r="O64" s="463">
        <f t="shared" si="5"/>
        <v>0.18064447160434452</v>
      </c>
      <c r="P64">
        <f t="shared" si="6"/>
        <v>0.5</v>
      </c>
      <c r="Q64" s="463">
        <f t="shared" si="34"/>
        <v>0.68064447160434449</v>
      </c>
      <c r="R64" s="9">
        <f t="shared" si="39"/>
        <v>2.3160771703712326</v>
      </c>
      <c r="S64" s="9">
        <f t="shared" si="7"/>
        <v>1.6092640377344449E-2</v>
      </c>
      <c r="T64" s="9">
        <f t="shared" si="40"/>
        <v>1.6092640377344449E-2</v>
      </c>
      <c r="U64" s="463">
        <f t="shared" si="47"/>
        <v>4.1911597957333848</v>
      </c>
      <c r="V64" s="465">
        <f t="shared" si="9"/>
        <v>0.17565820433371909</v>
      </c>
      <c r="W64" s="463">
        <f t="shared" si="41"/>
        <v>0.17565820433371909</v>
      </c>
      <c r="X64" s="463">
        <f t="shared" si="48"/>
        <v>4.1911597957333848</v>
      </c>
      <c r="Y64" s="463">
        <f t="shared" si="11"/>
        <v>3.1618476780069432E-2</v>
      </c>
      <c r="Z64" s="463">
        <f t="shared" si="12"/>
        <v>0.47193649168838347</v>
      </c>
      <c r="AA64" s="463">
        <f t="shared" si="13"/>
        <v>2.9999999999999992E-2</v>
      </c>
      <c r="AB64" s="463">
        <f t="shared" si="14"/>
        <v>0</v>
      </c>
      <c r="AC64" s="463">
        <f t="shared" si="49"/>
        <v>0.53695047972348975</v>
      </c>
      <c r="AD64" s="463">
        <f t="shared" si="50"/>
        <v>4.248340031793937</v>
      </c>
      <c r="AE64" s="463">
        <f t="shared" si="17"/>
        <v>3.2487107446337239E-2</v>
      </c>
      <c r="AF64" s="463">
        <f t="shared" si="18"/>
        <v>0.13200000000000001</v>
      </c>
      <c r="AG64" s="463">
        <f t="shared" si="51"/>
        <v>0.16556283899424257</v>
      </c>
      <c r="AH64" s="463">
        <f t="shared" si="52"/>
        <v>0</v>
      </c>
      <c r="AI64">
        <f t="shared" si="21"/>
        <v>0</v>
      </c>
      <c r="AJ64" s="464">
        <f t="shared" si="22"/>
        <v>0.43182179999999998</v>
      </c>
      <c r="AK64">
        <f t="shared" si="23"/>
        <v>7.2000000000000008E-2</v>
      </c>
      <c r="AL64" s="464">
        <f t="shared" si="24"/>
        <v>0.98399999999999999</v>
      </c>
      <c r="AM64" s="464">
        <f t="shared" si="25"/>
        <v>0.82265384615384629</v>
      </c>
      <c r="AN64" s="464">
        <f t="shared" si="42"/>
        <v>1.056</v>
      </c>
      <c r="AO64" s="464">
        <f t="shared" si="53"/>
        <v>3.0627304350331408</v>
      </c>
      <c r="AP64" s="100">
        <f t="shared" si="27"/>
        <v>64.900000000000006</v>
      </c>
      <c r="AQ64" s="10">
        <f t="shared" si="43"/>
        <v>0.95493514731635354</v>
      </c>
      <c r="AR64" s="77">
        <f t="shared" si="54"/>
        <v>26.847523986174487</v>
      </c>
      <c r="AS64" s="77">
        <f t="shared" si="44"/>
        <v>8.2781419497121291</v>
      </c>
      <c r="AT64" s="10"/>
      <c r="AU64">
        <f t="shared" si="45"/>
        <v>95.493514731635358</v>
      </c>
      <c r="BE64" s="31"/>
      <c r="BF64" s="32"/>
    </row>
    <row r="65" spans="1:58" x14ac:dyDescent="0.2">
      <c r="G65">
        <v>56</v>
      </c>
      <c r="H65">
        <f t="shared" si="0"/>
        <v>5.6000000000000005</v>
      </c>
      <c r="I65" s="463">
        <f t="shared" si="1"/>
        <v>0.49325333333333338</v>
      </c>
      <c r="J65" s="464">
        <f t="shared" si="2"/>
        <v>8.0235875555555562</v>
      </c>
      <c r="K65" s="464">
        <f t="shared" si="31"/>
        <v>9.6117937777777787</v>
      </c>
      <c r="L65" s="464">
        <f t="shared" si="32"/>
        <v>1.5882062222222224</v>
      </c>
      <c r="M65" s="77">
        <f t="shared" si="3"/>
        <v>0</v>
      </c>
      <c r="N65" s="463">
        <f t="shared" si="46"/>
        <v>6.0601014654711438</v>
      </c>
      <c r="O65" s="463">
        <f t="shared" si="5"/>
        <v>0.18636179087740412</v>
      </c>
      <c r="P65">
        <f t="shared" si="6"/>
        <v>0.5</v>
      </c>
      <c r="Q65" s="463">
        <f t="shared" si="34"/>
        <v>0.68636179087740412</v>
      </c>
      <c r="R65" s="9">
        <f t="shared" si="39"/>
        <v>2.3162102175332659</v>
      </c>
      <c r="S65" s="9">
        <f t="shared" si="7"/>
        <v>1.6094489315416498E-2</v>
      </c>
      <c r="T65" s="9">
        <f t="shared" si="40"/>
        <v>1.6094489315416498E-2</v>
      </c>
      <c r="U65" s="463">
        <f t="shared" si="47"/>
        <v>4.2561302495391642</v>
      </c>
      <c r="V65" s="465">
        <f t="shared" si="9"/>
        <v>0.1811464470104231</v>
      </c>
      <c r="W65" s="463">
        <f t="shared" si="41"/>
        <v>0.1811464470104231</v>
      </c>
      <c r="X65" s="463">
        <f t="shared" si="48"/>
        <v>4.2561302495391642</v>
      </c>
      <c r="Y65" s="463">
        <f t="shared" si="11"/>
        <v>3.2606360461876156E-2</v>
      </c>
      <c r="Z65" s="463">
        <f t="shared" si="12"/>
        <v>0.4788508188285206</v>
      </c>
      <c r="AA65" s="463">
        <f t="shared" si="13"/>
        <v>2.9999999999999992E-2</v>
      </c>
      <c r="AB65" s="463">
        <f t="shared" si="14"/>
        <v>0</v>
      </c>
      <c r="AC65" s="463">
        <f t="shared" si="49"/>
        <v>0.54501134657484307</v>
      </c>
      <c r="AD65" s="463">
        <f t="shared" si="50"/>
        <v>4.3139523723336586</v>
      </c>
      <c r="AE65" s="463">
        <f t="shared" si="17"/>
        <v>3.3498333127373763E-2</v>
      </c>
      <c r="AF65" s="463">
        <f t="shared" si="18"/>
        <v>0.13440000000000002</v>
      </c>
      <c r="AG65" s="463">
        <f t="shared" si="51"/>
        <v>0.16903078302307131</v>
      </c>
      <c r="AH65" s="463">
        <f t="shared" si="52"/>
        <v>0</v>
      </c>
      <c r="AI65">
        <f t="shared" si="21"/>
        <v>0</v>
      </c>
      <c r="AJ65" s="464">
        <f t="shared" si="22"/>
        <v>0.43181856000000002</v>
      </c>
      <c r="AK65">
        <f t="shared" si="23"/>
        <v>7.2000000000000008E-2</v>
      </c>
      <c r="AL65" s="464">
        <f t="shared" si="24"/>
        <v>0.98399999999999999</v>
      </c>
      <c r="AM65" s="464">
        <f t="shared" si="25"/>
        <v>0.82265384615384629</v>
      </c>
      <c r="AN65" s="464">
        <f t="shared" si="42"/>
        <v>1.056</v>
      </c>
      <c r="AO65" s="464">
        <f t="shared" si="53"/>
        <v>3.0854634168011583</v>
      </c>
      <c r="AP65" s="100">
        <f t="shared" si="27"/>
        <v>66.080000000000013</v>
      </c>
      <c r="AQ65" s="10">
        <f t="shared" si="43"/>
        <v>0.9553901143088176</v>
      </c>
      <c r="AR65" s="77">
        <f t="shared" si="54"/>
        <v>27.250567328742154</v>
      </c>
      <c r="AS65" s="77">
        <f t="shared" si="44"/>
        <v>8.4515391511535665</v>
      </c>
      <c r="AT65" s="10"/>
      <c r="AU65">
        <f t="shared" si="45"/>
        <v>95.539011430881757</v>
      </c>
      <c r="BE65" s="31"/>
      <c r="BF65" s="32"/>
    </row>
    <row r="66" spans="1:58" x14ac:dyDescent="0.2">
      <c r="A66" s="12" t="s">
        <v>149</v>
      </c>
      <c r="B66" s="46"/>
      <c r="C66" s="46"/>
      <c r="D66" s="47"/>
      <c r="G66">
        <v>57</v>
      </c>
      <c r="H66">
        <f t="shared" si="0"/>
        <v>5.6999999999999993</v>
      </c>
      <c r="I66" s="463">
        <f t="shared" si="1"/>
        <v>0.49328166666666667</v>
      </c>
      <c r="J66" s="464">
        <f t="shared" si="2"/>
        <v>8.0240484444444444</v>
      </c>
      <c r="K66" s="464">
        <f t="shared" si="31"/>
        <v>9.7120242222222224</v>
      </c>
      <c r="L66" s="464">
        <f t="shared" si="32"/>
        <v>1.6879757777777771</v>
      </c>
      <c r="M66" s="77">
        <f t="shared" si="3"/>
        <v>0</v>
      </c>
      <c r="N66" s="463">
        <f t="shared" si="46"/>
        <v>6.1526779632855213</v>
      </c>
      <c r="O66" s="463">
        <f t="shared" si="5"/>
        <v>0.19218736599077196</v>
      </c>
      <c r="P66">
        <f t="shared" si="6"/>
        <v>0.5</v>
      </c>
      <c r="Q66" s="463">
        <f t="shared" si="34"/>
        <v>0.69218736599077202</v>
      </c>
      <c r="R66" s="9">
        <f t="shared" si="39"/>
        <v>2.3163432646952993</v>
      </c>
      <c r="S66" s="9">
        <f t="shared" si="7"/>
        <v>1.6096338359697832E-2</v>
      </c>
      <c r="T66" s="9">
        <f t="shared" si="40"/>
        <v>1.6096338359697832E-2</v>
      </c>
      <c r="U66" s="463">
        <f t="shared" si="47"/>
        <v>4.3212726776302963</v>
      </c>
      <c r="V66" s="465">
        <f t="shared" si="9"/>
        <v>0.18673397554434112</v>
      </c>
      <c r="W66" s="463">
        <f t="shared" si="41"/>
        <v>0.18673397554434112</v>
      </c>
      <c r="X66" s="463">
        <f t="shared" si="48"/>
        <v>4.3212726776302963</v>
      </c>
      <c r="Y66" s="463">
        <f t="shared" si="11"/>
        <v>3.3612115597981398E-2</v>
      </c>
      <c r="Z66" s="463">
        <f t="shared" si="12"/>
        <v>0.4857651459686575</v>
      </c>
      <c r="AA66" s="463">
        <f t="shared" si="13"/>
        <v>2.9999999999999992E-2</v>
      </c>
      <c r="AB66" s="463">
        <f t="shared" si="14"/>
        <v>0</v>
      </c>
      <c r="AC66" s="463">
        <f t="shared" si="49"/>
        <v>0.55309540289037151</v>
      </c>
      <c r="AD66" s="463">
        <f t="shared" si="50"/>
        <v>4.3797315631742961</v>
      </c>
      <c r="AE66" s="463">
        <f t="shared" si="17"/>
        <v>3.4527687417837294E-2</v>
      </c>
      <c r="AF66" s="463">
        <f t="shared" si="18"/>
        <v>0.13679999999999998</v>
      </c>
      <c r="AG66" s="463">
        <f t="shared" si="51"/>
        <v>0.1725190240047304</v>
      </c>
      <c r="AH66" s="463">
        <f t="shared" si="52"/>
        <v>0</v>
      </c>
      <c r="AI66">
        <f t="shared" si="21"/>
        <v>0</v>
      </c>
      <c r="AJ66" s="464">
        <f t="shared" si="22"/>
        <v>0.43181532</v>
      </c>
      <c r="AK66">
        <f t="shared" si="23"/>
        <v>7.2000000000000008E-2</v>
      </c>
      <c r="AL66" s="464">
        <f t="shared" si="24"/>
        <v>0.98399999999999999</v>
      </c>
      <c r="AM66" s="464">
        <f t="shared" si="25"/>
        <v>0.82265384615384629</v>
      </c>
      <c r="AN66" s="464">
        <f t="shared" si="42"/>
        <v>1.056</v>
      </c>
      <c r="AO66" s="464">
        <f t="shared" si="53"/>
        <v>3.1084474267899131</v>
      </c>
      <c r="AP66" s="100">
        <f t="shared" si="27"/>
        <v>67.259999999999991</v>
      </c>
      <c r="AQ66" s="10">
        <f t="shared" si="43"/>
        <v>0.95582611894309755</v>
      </c>
      <c r="AR66" s="77">
        <f t="shared" si="54"/>
        <v>27.654770144518576</v>
      </c>
      <c r="AS66" s="77">
        <f t="shared" si="44"/>
        <v>8.6259512002365195</v>
      </c>
      <c r="AT66" s="10"/>
      <c r="AU66">
        <f t="shared" si="45"/>
        <v>95.58261189430975</v>
      </c>
      <c r="BE66" s="31"/>
      <c r="BF66" s="32"/>
    </row>
    <row r="67" spans="1:58" x14ac:dyDescent="0.2">
      <c r="A67" s="48" t="s">
        <v>125</v>
      </c>
      <c r="B67" s="28" t="s">
        <v>8</v>
      </c>
      <c r="C67" s="49" t="s">
        <v>148</v>
      </c>
      <c r="D67" s="47"/>
      <c r="G67">
        <v>58</v>
      </c>
      <c r="H67">
        <f t="shared" si="0"/>
        <v>5.8</v>
      </c>
      <c r="I67" s="463">
        <f t="shared" si="1"/>
        <v>0.49330999999999997</v>
      </c>
      <c r="J67" s="464">
        <f t="shared" si="2"/>
        <v>8.0245093333333326</v>
      </c>
      <c r="K67" s="464">
        <f t="shared" si="31"/>
        <v>9.8122546666666661</v>
      </c>
      <c r="L67" s="464">
        <f t="shared" si="32"/>
        <v>1.7877453333333335</v>
      </c>
      <c r="M67" s="77">
        <f t="shared" si="3"/>
        <v>0</v>
      </c>
      <c r="N67" s="463">
        <f t="shared" si="46"/>
        <v>6.2454833682747211</v>
      </c>
      <c r="O67" s="463">
        <f t="shared" si="5"/>
        <v>0.19812148817742661</v>
      </c>
      <c r="P67">
        <f t="shared" si="6"/>
        <v>0.5</v>
      </c>
      <c r="Q67" s="463">
        <f t="shared" si="34"/>
        <v>0.69812148817742659</v>
      </c>
      <c r="R67" s="9">
        <f t="shared" si="39"/>
        <v>2.3164763118573322</v>
      </c>
      <c r="S67" s="9">
        <f t="shared" si="7"/>
        <v>1.6098187510188443E-2</v>
      </c>
      <c r="T67" s="9">
        <f t="shared" si="40"/>
        <v>1.6098187510188443E-2</v>
      </c>
      <c r="U67" s="463">
        <f t="shared" si="47"/>
        <v>4.386579612129518</v>
      </c>
      <c r="V67" s="465">
        <f t="shared" si="9"/>
        <v>0.19242080693550354</v>
      </c>
      <c r="W67" s="463">
        <f t="shared" si="41"/>
        <v>0.19242080693550354</v>
      </c>
      <c r="X67" s="463">
        <f t="shared" si="48"/>
        <v>4.386579612129518</v>
      </c>
      <c r="Y67" s="463">
        <f t="shared" si="11"/>
        <v>3.4635745248390637E-2</v>
      </c>
      <c r="Z67" s="463">
        <f t="shared" si="12"/>
        <v>0.49267947310879456</v>
      </c>
      <c r="AA67" s="463">
        <f t="shared" si="13"/>
        <v>2.9999999999999992E-2</v>
      </c>
      <c r="AB67" s="463">
        <f t="shared" si="14"/>
        <v>0</v>
      </c>
      <c r="AC67" s="463">
        <f t="shared" si="49"/>
        <v>0.5612027534776145</v>
      </c>
      <c r="AD67" s="463">
        <f t="shared" si="50"/>
        <v>4.4456700068545132</v>
      </c>
      <c r="AE67" s="463">
        <f t="shared" si="17"/>
        <v>3.5575167257722452E-2</v>
      </c>
      <c r="AF67" s="463">
        <f t="shared" si="18"/>
        <v>0.13919999999999999</v>
      </c>
      <c r="AG67" s="463">
        <f t="shared" si="51"/>
        <v>0.17602760958833888</v>
      </c>
      <c r="AH67" s="463">
        <f t="shared" si="52"/>
        <v>0</v>
      </c>
      <c r="AI67">
        <f t="shared" si="21"/>
        <v>0</v>
      </c>
      <c r="AJ67" s="464">
        <f t="shared" si="22"/>
        <v>0.43181207999999999</v>
      </c>
      <c r="AK67">
        <f t="shared" si="23"/>
        <v>7.2000000000000008E-2</v>
      </c>
      <c r="AL67" s="464">
        <f t="shared" si="24"/>
        <v>0.98399999999999999</v>
      </c>
      <c r="AM67" s="464">
        <f t="shared" si="25"/>
        <v>0.82265384615384629</v>
      </c>
      <c r="AN67" s="464">
        <f t="shared" si="42"/>
        <v>1.056</v>
      </c>
      <c r="AO67" s="464">
        <f t="shared" si="53"/>
        <v>3.1316829256890721</v>
      </c>
      <c r="AP67" s="100">
        <f t="shared" si="27"/>
        <v>68.44</v>
      </c>
      <c r="AQ67" s="10">
        <f t="shared" si="43"/>
        <v>0.95624410664004345</v>
      </c>
      <c r="AR67" s="77">
        <f t="shared" si="54"/>
        <v>28.060137673880725</v>
      </c>
      <c r="AS67" s="77">
        <f t="shared" si="44"/>
        <v>8.8013804794169435</v>
      </c>
      <c r="AT67" s="10"/>
      <c r="AU67">
        <f t="shared" si="45"/>
        <v>95.624410664004344</v>
      </c>
      <c r="BE67" s="31"/>
      <c r="BF67" s="32"/>
    </row>
    <row r="68" spans="1:58" x14ac:dyDescent="0.2">
      <c r="A68" s="50" t="s">
        <v>386</v>
      </c>
      <c r="B68" s="466">
        <f>I109</f>
        <v>0.49450000000000011</v>
      </c>
      <c r="C68" s="42" t="s">
        <v>23</v>
      </c>
      <c r="D68" s="47"/>
      <c r="G68">
        <v>59</v>
      </c>
      <c r="H68">
        <f t="shared" si="0"/>
        <v>5.8999999999999995</v>
      </c>
      <c r="I68" s="463">
        <f t="shared" si="1"/>
        <v>0.49333833333333338</v>
      </c>
      <c r="J68" s="464">
        <f t="shared" si="2"/>
        <v>8.0249702222222226</v>
      </c>
      <c r="K68" s="464">
        <f t="shared" si="31"/>
        <v>9.9124851111111099</v>
      </c>
      <c r="L68" s="464">
        <f t="shared" si="32"/>
        <v>1.8875148888888882</v>
      </c>
      <c r="M68" s="77">
        <f t="shared" si="3"/>
        <v>0</v>
      </c>
      <c r="N68" s="463">
        <f t="shared" si="46"/>
        <v>6.3385076257977406</v>
      </c>
      <c r="O68" s="463">
        <f t="shared" si="5"/>
        <v>0.20416445450589213</v>
      </c>
      <c r="P68">
        <f t="shared" si="6"/>
        <v>0.5</v>
      </c>
      <c r="Q68" s="463">
        <f t="shared" si="34"/>
        <v>0.70416445450589216</v>
      </c>
      <c r="R68" s="9">
        <f t="shared" si="39"/>
        <v>2.3166093590193655</v>
      </c>
      <c r="S68" s="9">
        <f t="shared" si="7"/>
        <v>1.6100036766888346E-2</v>
      </c>
      <c r="T68" s="9">
        <f t="shared" si="40"/>
        <v>1.6100036766888346E-2</v>
      </c>
      <c r="U68" s="463">
        <f t="shared" si="47"/>
        <v>4.452044004543759</v>
      </c>
      <c r="V68" s="465">
        <f t="shared" si="9"/>
        <v>0.1982069581839403</v>
      </c>
      <c r="W68" s="463">
        <f t="shared" si="41"/>
        <v>0.1982069581839403</v>
      </c>
      <c r="X68" s="463">
        <f t="shared" si="48"/>
        <v>4.452044004543759</v>
      </c>
      <c r="Y68" s="463">
        <f t="shared" si="11"/>
        <v>3.5677252473109253E-2</v>
      </c>
      <c r="Z68" s="463">
        <f t="shared" si="12"/>
        <v>0.49959380024893157</v>
      </c>
      <c r="AA68" s="463">
        <f t="shared" si="13"/>
        <v>2.9999999999999992E-2</v>
      </c>
      <c r="AB68" s="463">
        <f t="shared" si="14"/>
        <v>0</v>
      </c>
      <c r="AC68" s="463">
        <f t="shared" si="49"/>
        <v>0.56933350375299996</v>
      </c>
      <c r="AD68" s="463">
        <f t="shared" si="50"/>
        <v>4.5117605326415635</v>
      </c>
      <c r="AE68" s="463">
        <f t="shared" si="17"/>
        <v>3.6640769587023753E-2</v>
      </c>
      <c r="AF68" s="463">
        <f t="shared" si="18"/>
        <v>0.14159999999999998</v>
      </c>
      <c r="AG68" s="463">
        <f t="shared" si="51"/>
        <v>0.17955658790003923</v>
      </c>
      <c r="AH68" s="463">
        <f t="shared" si="52"/>
        <v>0</v>
      </c>
      <c r="AI68">
        <f t="shared" si="21"/>
        <v>0</v>
      </c>
      <c r="AJ68" s="464">
        <f t="shared" si="22"/>
        <v>0.43180883999999997</v>
      </c>
      <c r="AK68">
        <f t="shared" si="23"/>
        <v>7.2000000000000008E-2</v>
      </c>
      <c r="AL68" s="464">
        <f t="shared" si="24"/>
        <v>0.98399999999999999</v>
      </c>
      <c r="AM68" s="464">
        <f t="shared" si="25"/>
        <v>0.82265384615384629</v>
      </c>
      <c r="AN68" s="464">
        <f t="shared" si="42"/>
        <v>1.056</v>
      </c>
      <c r="AO68" s="464">
        <f t="shared" si="53"/>
        <v>3.1551703811097598</v>
      </c>
      <c r="AP68" s="100">
        <f t="shared" si="27"/>
        <v>69.62</v>
      </c>
      <c r="AQ68" s="10">
        <f t="shared" si="43"/>
        <v>0.95664496057396053</v>
      </c>
      <c r="AR68" s="77">
        <f t="shared" si="54"/>
        <v>28.466675187649997</v>
      </c>
      <c r="AS68" s="77">
        <f t="shared" si="44"/>
        <v>8.9778293950019616</v>
      </c>
      <c r="AT68" s="10"/>
      <c r="AU68">
        <f t="shared" si="45"/>
        <v>95.66449605739605</v>
      </c>
      <c r="BE68" s="31"/>
      <c r="BF68" s="32"/>
    </row>
    <row r="69" spans="1:58" x14ac:dyDescent="0.2">
      <c r="A69" s="36" t="s">
        <v>151</v>
      </c>
      <c r="B69" s="466">
        <f>1-B68</f>
        <v>0.50549999999999984</v>
      </c>
      <c r="C69" s="42" t="s">
        <v>23</v>
      </c>
      <c r="G69">
        <v>60</v>
      </c>
      <c r="H69">
        <f t="shared" si="0"/>
        <v>6</v>
      </c>
      <c r="I69" s="463">
        <f t="shared" si="1"/>
        <v>0.49336666666666668</v>
      </c>
      <c r="J69" s="464">
        <f t="shared" si="2"/>
        <v>8.0254311111111107</v>
      </c>
      <c r="K69" s="464">
        <f t="shared" si="31"/>
        <v>10.012715555555555</v>
      </c>
      <c r="L69" s="464">
        <f t="shared" si="32"/>
        <v>1.9872844444444446</v>
      </c>
      <c r="M69" s="77">
        <f t="shared" si="3"/>
        <v>0</v>
      </c>
      <c r="N69" s="463">
        <f t="shared" si="46"/>
        <v>6.4317412398664775</v>
      </c>
      <c r="O69" s="463">
        <f t="shared" si="5"/>
        <v>0.21031656791805944</v>
      </c>
      <c r="P69">
        <f t="shared" si="6"/>
        <v>0.5</v>
      </c>
      <c r="Q69" s="463">
        <f t="shared" si="34"/>
        <v>0.71031656791805942</v>
      </c>
      <c r="R69" s="9">
        <f t="shared" si="39"/>
        <v>2.3167424061813988</v>
      </c>
      <c r="S69" s="9">
        <f t="shared" si="7"/>
        <v>1.6101886129797533E-2</v>
      </c>
      <c r="T69" s="9">
        <f t="shared" si="40"/>
        <v>1.6101886129797533E-2</v>
      </c>
      <c r="U69" s="463">
        <f t="shared" si="47"/>
        <v>4.5176591979661485</v>
      </c>
      <c r="V69" s="465">
        <f t="shared" si="9"/>
        <v>0.20409244628968143</v>
      </c>
      <c r="W69" s="463">
        <f t="shared" si="41"/>
        <v>0.20409244628968143</v>
      </c>
      <c r="X69" s="463">
        <f t="shared" si="48"/>
        <v>4.5176591979661485</v>
      </c>
      <c r="Y69" s="463">
        <f t="shared" si="11"/>
        <v>3.6736640332142655E-2</v>
      </c>
      <c r="Z69" s="463">
        <f t="shared" si="12"/>
        <v>0.5065081273890687</v>
      </c>
      <c r="AA69" s="463">
        <f t="shared" si="13"/>
        <v>2.9999999999999992E-2</v>
      </c>
      <c r="AB69" s="463">
        <f t="shared" si="14"/>
        <v>0</v>
      </c>
      <c r="AC69" s="463">
        <f t="shared" si="49"/>
        <v>0.5774877597464152</v>
      </c>
      <c r="AD69" s="463">
        <f t="shared" si="50"/>
        <v>4.5779963682413536</v>
      </c>
      <c r="AE69" s="463">
        <f t="shared" si="17"/>
        <v>3.7724491345735842E-2</v>
      </c>
      <c r="AF69" s="463">
        <f t="shared" si="18"/>
        <v>0.14400000000000002</v>
      </c>
      <c r="AG69" s="463">
        <f t="shared" si="51"/>
        <v>0.18310600754513359</v>
      </c>
      <c r="AH69" s="463">
        <f t="shared" si="52"/>
        <v>0</v>
      </c>
      <c r="AI69">
        <f t="shared" si="21"/>
        <v>0</v>
      </c>
      <c r="AJ69" s="464">
        <f t="shared" si="22"/>
        <v>0.43180559999999996</v>
      </c>
      <c r="AK69">
        <f t="shared" si="23"/>
        <v>7.2000000000000008E-2</v>
      </c>
      <c r="AL69" s="464">
        <f t="shared" si="24"/>
        <v>0.98399999999999999</v>
      </c>
      <c r="AM69" s="464">
        <f t="shared" si="25"/>
        <v>0.82265384615384629</v>
      </c>
      <c r="AN69" s="464">
        <f t="shared" si="42"/>
        <v>1.056</v>
      </c>
      <c r="AO69" s="464">
        <f t="shared" si="53"/>
        <v>3.178910267629087</v>
      </c>
      <c r="AP69" s="100">
        <f t="shared" si="27"/>
        <v>70.800000000000011</v>
      </c>
      <c r="AQ69" s="10">
        <f t="shared" si="43"/>
        <v>0.95702950670496578</v>
      </c>
      <c r="AR69" s="77">
        <f t="shared" si="54"/>
        <v>28.874387987320759</v>
      </c>
      <c r="AS69" s="77">
        <f t="shared" si="44"/>
        <v>9.1553003772566797</v>
      </c>
      <c r="AT69" s="10"/>
      <c r="AU69">
        <f t="shared" si="45"/>
        <v>95.702950670496577</v>
      </c>
      <c r="BE69" s="31"/>
      <c r="BF69" s="32"/>
    </row>
    <row r="70" spans="1:58" x14ac:dyDescent="0.2">
      <c r="A70" s="51" t="s">
        <v>387</v>
      </c>
      <c r="B70" s="466">
        <f>Ipp</f>
        <v>0.50549999999999984</v>
      </c>
      <c r="C70" s="42" t="s">
        <v>2</v>
      </c>
      <c r="G70">
        <v>61</v>
      </c>
      <c r="H70">
        <f t="shared" si="0"/>
        <v>6.1</v>
      </c>
      <c r="I70" s="463">
        <f t="shared" si="1"/>
        <v>0.49339500000000003</v>
      </c>
      <c r="J70" s="464">
        <f t="shared" si="2"/>
        <v>8.0258920000000007</v>
      </c>
      <c r="K70" s="464">
        <f t="shared" si="31"/>
        <v>10.112946000000001</v>
      </c>
      <c r="L70" s="464">
        <f t="shared" si="32"/>
        <v>2.0870539999999993</v>
      </c>
      <c r="M70" s="77">
        <f t="shared" si="3"/>
        <v>0</v>
      </c>
      <c r="N70" s="463">
        <f t="shared" si="46"/>
        <v>6.5251752364442543</v>
      </c>
      <c r="O70" s="463">
        <f t="shared" si="5"/>
        <v>0.21657813726782993</v>
      </c>
      <c r="P70">
        <f t="shared" si="6"/>
        <v>0.5</v>
      </c>
      <c r="Q70" s="463">
        <f t="shared" si="34"/>
        <v>0.71657813726782993</v>
      </c>
      <c r="R70" s="9">
        <f t="shared" si="39"/>
        <v>2.3168754533434321</v>
      </c>
      <c r="S70" s="9">
        <f t="shared" si="7"/>
        <v>1.6103735598916005E-2</v>
      </c>
      <c r="T70" s="9">
        <f t="shared" si="40"/>
        <v>1.6103735598916005E-2</v>
      </c>
      <c r="U70" s="463">
        <f t="shared" si="47"/>
        <v>4.5834189013525393</v>
      </c>
      <c r="V70" s="465">
        <f t="shared" si="9"/>
        <v>0.21007728825275718</v>
      </c>
      <c r="W70" s="463">
        <f t="shared" si="41"/>
        <v>0.21007728825275718</v>
      </c>
      <c r="X70" s="463">
        <f t="shared" si="48"/>
        <v>4.5834189013525393</v>
      </c>
      <c r="Y70" s="463">
        <f t="shared" si="11"/>
        <v>3.7813911885496286E-2</v>
      </c>
      <c r="Z70" s="463">
        <f t="shared" si="12"/>
        <v>0.51342245452920576</v>
      </c>
      <c r="AA70" s="463">
        <f t="shared" si="13"/>
        <v>2.9999999999999992E-2</v>
      </c>
      <c r="AB70" s="463">
        <f t="shared" si="14"/>
        <v>0</v>
      </c>
      <c r="AC70" s="463">
        <f t="shared" si="49"/>
        <v>0.58566562810581357</v>
      </c>
      <c r="AD70" s="463">
        <f t="shared" si="50"/>
        <v>4.6443711136201866</v>
      </c>
      <c r="AE70" s="463">
        <f t="shared" si="17"/>
        <v>3.8826329473853304E-2</v>
      </c>
      <c r="AF70" s="463">
        <f t="shared" si="18"/>
        <v>0.1464</v>
      </c>
      <c r="AG70" s="463">
        <f t="shared" si="51"/>
        <v>0.18667591761024718</v>
      </c>
      <c r="AH70" s="463">
        <f t="shared" si="52"/>
        <v>0</v>
      </c>
      <c r="AI70">
        <f t="shared" si="21"/>
        <v>0</v>
      </c>
      <c r="AJ70" s="464">
        <f t="shared" si="22"/>
        <v>0.43180235999999994</v>
      </c>
      <c r="AK70">
        <f t="shared" si="23"/>
        <v>7.2000000000000008E-2</v>
      </c>
      <c r="AL70" s="464">
        <f t="shared" si="24"/>
        <v>0.98399999999999999</v>
      </c>
      <c r="AM70" s="464">
        <f t="shared" si="25"/>
        <v>0.82265384615384629</v>
      </c>
      <c r="AN70" s="464">
        <f t="shared" si="42"/>
        <v>1.056</v>
      </c>
      <c r="AO70" s="464">
        <f t="shared" si="53"/>
        <v>3.2029030668355638</v>
      </c>
      <c r="AP70" s="100">
        <f t="shared" si="27"/>
        <v>71.98</v>
      </c>
      <c r="AQ70" s="10">
        <f t="shared" si="43"/>
        <v>0.95739851833084622</v>
      </c>
      <c r="AR70" s="77">
        <f t="shared" si="54"/>
        <v>29.28328140529068</v>
      </c>
      <c r="AS70" s="77">
        <f t="shared" si="44"/>
        <v>9.3337958805123584</v>
      </c>
      <c r="AT70" s="10"/>
      <c r="AU70">
        <f t="shared" si="45"/>
        <v>95.739851833084629</v>
      </c>
      <c r="BE70" s="31"/>
      <c r="BF70" s="32"/>
    </row>
    <row r="71" spans="1:58" x14ac:dyDescent="0.2">
      <c r="A71" s="48" t="s">
        <v>129</v>
      </c>
      <c r="B71" s="28" t="s">
        <v>8</v>
      </c>
      <c r="C71" s="30" t="s">
        <v>148</v>
      </c>
      <c r="G71">
        <v>62</v>
      </c>
      <c r="H71">
        <f t="shared" si="0"/>
        <v>6.2</v>
      </c>
      <c r="I71" s="463">
        <f t="shared" si="1"/>
        <v>0.49342333333333338</v>
      </c>
      <c r="J71" s="464">
        <f t="shared" si="2"/>
        <v>8.0263528888888889</v>
      </c>
      <c r="K71" s="464">
        <f t="shared" si="31"/>
        <v>10.213176444444445</v>
      </c>
      <c r="L71" s="464">
        <f t="shared" si="32"/>
        <v>2.1868235555555557</v>
      </c>
      <c r="M71" s="77">
        <f t="shared" si="3"/>
        <v>0</v>
      </c>
      <c r="N71" s="463">
        <f t="shared" si="46"/>
        <v>6.6188011294655613</v>
      </c>
      <c r="O71" s="463">
        <f t="shared" si="5"/>
        <v>0.22294947736059401</v>
      </c>
      <c r="P71">
        <f t="shared" si="6"/>
        <v>0.5</v>
      </c>
      <c r="Q71" s="463">
        <f t="shared" si="34"/>
        <v>0.72294947736059401</v>
      </c>
      <c r="R71" s="9">
        <f t="shared" si="39"/>
        <v>2.3170085005054655</v>
      </c>
      <c r="S71" s="9">
        <f t="shared" si="7"/>
        <v>1.6105585174243757E-2</v>
      </c>
      <c r="T71" s="9">
        <f t="shared" si="40"/>
        <v>1.6105585174243757E-2</v>
      </c>
      <c r="U71" s="463">
        <f t="shared" si="47"/>
        <v>4.6493171657050629</v>
      </c>
      <c r="V71" s="465">
        <f t="shared" si="9"/>
        <v>0.21616150107319762</v>
      </c>
      <c r="W71" s="463">
        <f t="shared" si="41"/>
        <v>0.21616150107319762</v>
      </c>
      <c r="X71" s="463">
        <f t="shared" si="48"/>
        <v>4.6493171657050629</v>
      </c>
      <c r="Y71" s="463">
        <f t="shared" si="11"/>
        <v>3.890907019317557E-2</v>
      </c>
      <c r="Z71" s="463">
        <f t="shared" si="12"/>
        <v>0.52033678166934272</v>
      </c>
      <c r="AA71" s="463">
        <f t="shared" si="13"/>
        <v>2.9999999999999992E-2</v>
      </c>
      <c r="AB71" s="463">
        <f t="shared" si="14"/>
        <v>0</v>
      </c>
      <c r="AC71" s="463">
        <f t="shared" si="49"/>
        <v>0.59386721610186499</v>
      </c>
      <c r="AD71" s="463">
        <f t="shared" si="50"/>
        <v>4.7108787167676933</v>
      </c>
      <c r="AE71" s="463">
        <f t="shared" si="17"/>
        <v>3.9946280911370688E-2</v>
      </c>
      <c r="AF71" s="463">
        <f t="shared" si="18"/>
        <v>0.14880000000000002</v>
      </c>
      <c r="AG71" s="463">
        <f t="shared" si="51"/>
        <v>0.1902663676655213</v>
      </c>
      <c r="AH71" s="463">
        <f t="shared" si="52"/>
        <v>0</v>
      </c>
      <c r="AI71">
        <f t="shared" si="21"/>
        <v>0</v>
      </c>
      <c r="AJ71" s="464">
        <f t="shared" si="22"/>
        <v>0.43179911999999998</v>
      </c>
      <c r="AK71">
        <f t="shared" si="23"/>
        <v>7.2000000000000008E-2</v>
      </c>
      <c r="AL71" s="464">
        <f t="shared" si="24"/>
        <v>0.98399999999999999</v>
      </c>
      <c r="AM71" s="464">
        <f t="shared" si="25"/>
        <v>0.82265384615384629</v>
      </c>
      <c r="AN71" s="464">
        <f t="shared" si="42"/>
        <v>1.056</v>
      </c>
      <c r="AO71" s="464">
        <f t="shared" si="53"/>
        <v>3.2271492673754216</v>
      </c>
      <c r="AP71" s="100">
        <f t="shared" si="27"/>
        <v>73.160000000000011</v>
      </c>
      <c r="AQ71" s="10">
        <f t="shared" si="43"/>
        <v>0.95775272021109814</v>
      </c>
      <c r="AR71" s="77">
        <f t="shared" si="54"/>
        <v>29.693360805093249</v>
      </c>
      <c r="AS71" s="77">
        <f t="shared" si="44"/>
        <v>9.513318383276065</v>
      </c>
      <c r="AT71" s="10"/>
      <c r="AU71">
        <f t="shared" si="45"/>
        <v>95.775272021109814</v>
      </c>
      <c r="BE71" s="31"/>
      <c r="BF71" s="32"/>
    </row>
    <row r="72" spans="1:58" x14ac:dyDescent="0.2">
      <c r="A72" s="50" t="s">
        <v>166</v>
      </c>
      <c r="B72" s="466">
        <f>(QgdTop+QgsTop/2)*(RdsonDRT+RGateTop)/(Vdd-VspTop)*1000000000</f>
        <v>3.8476638349514567</v>
      </c>
      <c r="C72" s="42" t="s">
        <v>147</v>
      </c>
      <c r="G72">
        <v>63</v>
      </c>
      <c r="H72">
        <f t="shared" si="0"/>
        <v>6.3</v>
      </c>
      <c r="I72" s="463">
        <f t="shared" si="1"/>
        <v>0.49345166666666668</v>
      </c>
      <c r="J72" s="464">
        <f t="shared" si="2"/>
        <v>8.026813777777777</v>
      </c>
      <c r="K72" s="464">
        <f t="shared" si="31"/>
        <v>10.313406888888888</v>
      </c>
      <c r="L72" s="464">
        <f t="shared" si="32"/>
        <v>2.2865931111111113</v>
      </c>
      <c r="M72" s="77">
        <f t="shared" si="3"/>
        <v>0</v>
      </c>
      <c r="N72" s="463">
        <f t="shared" si="46"/>
        <v>6.7126108893579497</v>
      </c>
      <c r="O72" s="463">
        <f t="shared" si="5"/>
        <v>0.22943090899355176</v>
      </c>
      <c r="P72">
        <f t="shared" si="6"/>
        <v>0.5</v>
      </c>
      <c r="Q72" s="463">
        <f t="shared" si="34"/>
        <v>0.72943090899355179</v>
      </c>
      <c r="R72" s="9">
        <f t="shared" si="39"/>
        <v>2.3171415476674984</v>
      </c>
      <c r="S72" s="9">
        <f t="shared" si="7"/>
        <v>1.610743485578079E-2</v>
      </c>
      <c r="T72" s="9">
        <f t="shared" si="40"/>
        <v>1.610743485578079E-2</v>
      </c>
      <c r="U72" s="463">
        <f t="shared" si="47"/>
        <v>4.7153483620092436</v>
      </c>
      <c r="V72" s="465">
        <f t="shared" si="9"/>
        <v>0.22234510175103256</v>
      </c>
      <c r="W72" s="463">
        <f t="shared" si="41"/>
        <v>0.22234510175103256</v>
      </c>
      <c r="X72" s="463">
        <f t="shared" si="48"/>
        <v>4.7153483620092436</v>
      </c>
      <c r="Y72" s="463">
        <f t="shared" si="11"/>
        <v>4.0022118315185859E-2</v>
      </c>
      <c r="Z72" s="463">
        <f t="shared" si="12"/>
        <v>0.52725110880947978</v>
      </c>
      <c r="AA72" s="463">
        <f t="shared" si="13"/>
        <v>2.9999999999999992E-2</v>
      </c>
      <c r="AB72" s="463">
        <f t="shared" si="14"/>
        <v>0</v>
      </c>
      <c r="AC72" s="463">
        <f t="shared" si="49"/>
        <v>0.60209263163264637</v>
      </c>
      <c r="AD72" s="463">
        <f t="shared" si="50"/>
        <v>4.7775134512446602</v>
      </c>
      <c r="AE72" s="463">
        <f t="shared" si="17"/>
        <v>4.1084342598282593E-2</v>
      </c>
      <c r="AF72" s="463">
        <f t="shared" si="18"/>
        <v>0.1512</v>
      </c>
      <c r="AG72" s="463">
        <f t="shared" si="51"/>
        <v>0.19387740776683451</v>
      </c>
      <c r="AH72" s="463">
        <f t="shared" si="52"/>
        <v>0</v>
      </c>
      <c r="AI72">
        <f t="shared" si="21"/>
        <v>0</v>
      </c>
      <c r="AJ72" s="464">
        <f t="shared" si="22"/>
        <v>0.43179587999999997</v>
      </c>
      <c r="AK72">
        <f t="shared" si="23"/>
        <v>7.2000000000000008E-2</v>
      </c>
      <c r="AL72" s="464">
        <f t="shared" si="24"/>
        <v>0.98399999999999999</v>
      </c>
      <c r="AM72" s="464">
        <f t="shared" si="25"/>
        <v>0.82265384615384629</v>
      </c>
      <c r="AN72" s="464">
        <f t="shared" si="42"/>
        <v>1.056</v>
      </c>
      <c r="AO72" s="464">
        <f t="shared" si="53"/>
        <v>3.2516493649998464</v>
      </c>
      <c r="AP72" s="100">
        <f t="shared" si="27"/>
        <v>74.34</v>
      </c>
      <c r="AQ72" s="10">
        <f t="shared" si="43"/>
        <v>0.95809279230934086</v>
      </c>
      <c r="AR72" s="77">
        <f t="shared" si="54"/>
        <v>30.104631581632319</v>
      </c>
      <c r="AS72" s="77">
        <f t="shared" si="44"/>
        <v>9.6938703883417254</v>
      </c>
      <c r="AT72" s="10"/>
      <c r="AU72">
        <f t="shared" si="45"/>
        <v>95.809279230934081</v>
      </c>
      <c r="BE72" s="31"/>
      <c r="BF72" s="32"/>
    </row>
    <row r="73" spans="1:58" x14ac:dyDescent="0.2">
      <c r="A73" s="51" t="s">
        <v>167</v>
      </c>
      <c r="B73" s="466">
        <f>(QgdTop+QgsTop/2)*(RdsonDRT+RGateTop)/(VspTop)*1000000000</f>
        <v>7.6674123337363982</v>
      </c>
      <c r="C73" s="42" t="s">
        <v>147</v>
      </c>
      <c r="G73">
        <v>64</v>
      </c>
      <c r="H73">
        <f t="shared" ref="H73:H136" si="55">Iout*(G73/200)</f>
        <v>6.4</v>
      </c>
      <c r="I73" s="463">
        <f t="shared" si="1"/>
        <v>0.49348000000000009</v>
      </c>
      <c r="J73" s="464">
        <f t="shared" ref="J73:J136" si="56">(Vin-Vout)*I73/(Fsw*Lout2)</f>
        <v>8.027274666666667</v>
      </c>
      <c r="K73" s="464">
        <f t="shared" si="31"/>
        <v>10.413637333333334</v>
      </c>
      <c r="L73" s="464">
        <f t="shared" si="32"/>
        <v>2.3863626666666669</v>
      </c>
      <c r="M73" s="77">
        <f t="shared" ref="M73:M136" si="57">IF(MIN(Vin, -L73/(CossTop+CossBot)*0.00000002)&lt;0, 0, MIN(Vin, -L73/(CossTop+CossBot)*0.00000002))</f>
        <v>0</v>
      </c>
      <c r="N73" s="463">
        <f t="shared" ref="N73:N109" si="58">SQRT(H73^2+(J73^2)/12)</f>
        <v>6.8065969138654285</v>
      </c>
      <c r="O73" s="463">
        <f t="shared" si="5"/>
        <v>0.23602275899688777</v>
      </c>
      <c r="P73">
        <f t="shared" ref="P73:P136" si="59">Core_Loss</f>
        <v>0.5</v>
      </c>
      <c r="Q73" s="463">
        <f t="shared" si="34"/>
        <v>0.73602275899688774</v>
      </c>
      <c r="R73" s="9">
        <f t="shared" si="39"/>
        <v>2.3172745948295321</v>
      </c>
      <c r="S73" s="9">
        <f t="shared" si="7"/>
        <v>1.6109284643527115E-2</v>
      </c>
      <c r="T73" s="9">
        <f t="shared" si="40"/>
        <v>1.6109284643527115E-2</v>
      </c>
      <c r="U73" s="463">
        <f t="shared" ref="U73:U109" si="60">SQRT(I73)*SQRT(H73^2+(J73^2)/12)</f>
        <v>4.781507160784062</v>
      </c>
      <c r="V73" s="465">
        <f t="shared" si="9"/>
        <v>0.22862810728629263</v>
      </c>
      <c r="W73" s="463">
        <f t="shared" si="41"/>
        <v>0.22862810728629263</v>
      </c>
      <c r="X73" s="463">
        <f t="shared" ref="X73:X109" si="61">SQRT(I73)*SQRT(H73^2+(J73^2)/12)</f>
        <v>4.781507160784062</v>
      </c>
      <c r="Y73" s="463">
        <f t="shared" si="11"/>
        <v>4.1153059311532673E-2</v>
      </c>
      <c r="Z73" s="463">
        <f t="shared" ref="Z73:Z136" si="62">IF(L73&lt;0, (Vin*K73*Tf/2)*Fsw, (Vin*L73*Tr/2+Vin*K73*Tf/2)*Fsw)</f>
        <v>0.53416543594961674</v>
      </c>
      <c r="AA73" s="463">
        <f t="shared" ref="AA73:AA136" si="63">(0.5*CossTop*(Vin-M73)^2-0.5*CossBot*(Vin-M73)^2+(QossBot*(Vin-M73)/Vin)*Vin)*Fsw</f>
        <v>2.9999999999999992E-2</v>
      </c>
      <c r="AB73" s="463">
        <f t="shared" ref="AB73:AB136" si="64">IF(L73&gt;0,0,-L73*VsdTop*Deadtime*Fsw)</f>
        <v>0</v>
      </c>
      <c r="AC73" s="463">
        <f t="shared" ref="AC73:AC104" si="65">(AB73+AA73+Z73+Y73*(1+RdsonTopTc*Ta-RdsonTopTc*25))/(1-Y73*RdsonTopTc*ThetaJaTop)</f>
        <v>0.61034198322837263</v>
      </c>
      <c r="AD73" s="463">
        <f t="shared" ref="AD73:AD109" si="66">SQRT(1-I73)*SQRT(H73^2+(J73^2)/12)</f>
        <v>4.8442698953725847</v>
      </c>
      <c r="AE73" s="463">
        <f t="shared" si="17"/>
        <v>4.2240511474583603E-2</v>
      </c>
      <c r="AF73" s="463">
        <f t="shared" ref="AF73:AF136" si="67">IF(L73&lt;0, Deadtime*Fsw*IF(VfdSky&gt;0,0,VsdBot)*K73, Deadtime*Fsw*IF(VfdSky&gt;0,0,VsdBot)*(K73+L73))</f>
        <v>0.15360000000000001</v>
      </c>
      <c r="AG73" s="463">
        <f t="shared" ref="AG73:AG104" si="68">(AF73+AE73*(1+RdsonBotTc*Ta-RdsonBotTc*25))/(1-AE73*RdsonBotTc*ThetaJaBot)</f>
        <v>0.19750908845805301</v>
      </c>
      <c r="AH73" s="463">
        <f t="shared" ref="AH73:AH109" si="69">IF(RDSON_sense=1, 0, AD73^2*Rshunt)</f>
        <v>0</v>
      </c>
      <c r="AI73">
        <f t="shared" ref="AI73:AI136" si="70">2*Deadtime*Fsw*IF(VfdSky&gt;0,VfdSky,0)*H73</f>
        <v>0</v>
      </c>
      <c r="AJ73" s="464">
        <f t="shared" ref="AJ73:AJ136" si="71">IF(QrrSky&gt;0,QrrSky,QrrBot)*Fsw*(Vin-H73*RdsonTop)</f>
        <v>0.43179263999999995</v>
      </c>
      <c r="AK73">
        <f t="shared" si="23"/>
        <v>7.2000000000000008E-2</v>
      </c>
      <c r="AL73" s="464">
        <f t="shared" si="24"/>
        <v>0.98399999999999999</v>
      </c>
      <c r="AM73" s="464">
        <f t="shared" si="25"/>
        <v>0.82265384615384629</v>
      </c>
      <c r="AN73" s="464">
        <f t="shared" si="42"/>
        <v>1.056</v>
      </c>
      <c r="AO73" s="464">
        <f t="shared" ref="AO73:AO104" si="72">SUM(Q73,T73,W73,AC73,AJ73,AI73,AG73,AN73, AH73)</f>
        <v>3.2764038626131331</v>
      </c>
      <c r="AP73" s="100">
        <f t="shared" ref="AP73:AP136" si="73">Vout*H73</f>
        <v>75.52000000000001</v>
      </c>
      <c r="AQ73" s="10">
        <f t="shared" si="43"/>
        <v>0.95841937319467307</v>
      </c>
      <c r="AR73" s="77">
        <f t="shared" ref="AR73:AR109" si="74">ThetaJaTop*AC73</f>
        <v>30.517099161418631</v>
      </c>
      <c r="AS73" s="77">
        <f t="shared" si="44"/>
        <v>9.8754544229026511</v>
      </c>
      <c r="AT73" s="10"/>
      <c r="AU73">
        <f t="shared" si="45"/>
        <v>95.841937319467306</v>
      </c>
      <c r="BE73" s="31"/>
      <c r="BF73" s="32"/>
    </row>
    <row r="74" spans="1:58" x14ac:dyDescent="0.2">
      <c r="A74" s="48" t="s">
        <v>206</v>
      </c>
      <c r="B74" s="28" t="s">
        <v>8</v>
      </c>
      <c r="C74" s="30" t="s">
        <v>148</v>
      </c>
      <c r="G74">
        <v>65</v>
      </c>
      <c r="H74">
        <f t="shared" si="55"/>
        <v>6.5</v>
      </c>
      <c r="I74" s="463">
        <f t="shared" ref="I74:I109" si="75">(Vout+Rdcr*H74+RdsonBot*H74)/(Vin-RdsonTop*H74+RdsonBot*H74)</f>
        <v>0.49350833333333338</v>
      </c>
      <c r="J74" s="464">
        <f t="shared" si="56"/>
        <v>8.027735555555557</v>
      </c>
      <c r="K74" s="464">
        <f t="shared" ref="K74:K137" si="76">H74+J74/2</f>
        <v>10.513867777777779</v>
      </c>
      <c r="L74" s="464">
        <f t="shared" ref="L74:L109" si="77">H74-J74/2</f>
        <v>2.4861322222222215</v>
      </c>
      <c r="M74" s="77">
        <f t="shared" si="57"/>
        <v>0</v>
      </c>
      <c r="N74" s="463">
        <f t="shared" si="58"/>
        <v>6.9007520009895229</v>
      </c>
      <c r="O74" s="463">
        <f t="shared" ref="O74:O109" si="78">(N74^2*Rdcr*(1+Ltc*Ta-Ltc*25))/(1-N74^2*Rdcr*Ltc*ThetaCa)</f>
        <v>0.24272536027580735</v>
      </c>
      <c r="P74">
        <f t="shared" si="59"/>
        <v>0.5</v>
      </c>
      <c r="Q74" s="463">
        <f t="shared" ref="Q74:Q137" si="79">O74+P74</f>
        <v>0.74272536027580738</v>
      </c>
      <c r="R74" s="9">
        <f t="shared" si="39"/>
        <v>2.3174076419915655</v>
      </c>
      <c r="S74" s="9">
        <f t="shared" ref="S74:S109" si="80">RCoutEsr*R74^2</f>
        <v>1.6111134537482724E-2</v>
      </c>
      <c r="T74" s="9">
        <f t="shared" si="40"/>
        <v>1.6111134537482724E-2</v>
      </c>
      <c r="U74" s="463">
        <f t="shared" si="60"/>
        <v>4.847788513116134</v>
      </c>
      <c r="V74" s="465">
        <f t="shared" ref="V74:V109" si="81">RCinEsr*U74^2</f>
        <v>0.23501053467900737</v>
      </c>
      <c r="W74" s="463">
        <f t="shared" si="41"/>
        <v>0.23501053467900737</v>
      </c>
      <c r="X74" s="463">
        <f t="shared" si="61"/>
        <v>4.847788513116134</v>
      </c>
      <c r="Y74" s="463">
        <f t="shared" ref="Y74:Y109" si="82">RdsonTop*X74^2</f>
        <v>4.2301896242221325E-2</v>
      </c>
      <c r="Z74" s="463">
        <f t="shared" si="62"/>
        <v>0.54107976308975392</v>
      </c>
      <c r="AA74" s="463">
        <f t="shared" si="63"/>
        <v>2.9999999999999992E-2</v>
      </c>
      <c r="AB74" s="463">
        <f t="shared" si="64"/>
        <v>0</v>
      </c>
      <c r="AC74" s="463">
        <f t="shared" si="65"/>
        <v>0.618615380056171</v>
      </c>
      <c r="AD74" s="463">
        <f t="shared" si="66"/>
        <v>4.911142912933828</v>
      </c>
      <c r="AE74" s="463">
        <f t="shared" ref="AE74:AE109" si="83">RdsonBot*AD74^2</f>
        <v>4.3414784480268295E-2</v>
      </c>
      <c r="AF74" s="463">
        <f t="shared" si="67"/>
        <v>0.156</v>
      </c>
      <c r="AG74" s="463">
        <f t="shared" si="68"/>
        <v>0.20116146077331012</v>
      </c>
      <c r="AH74" s="463">
        <f t="shared" si="69"/>
        <v>0</v>
      </c>
      <c r="AI74">
        <f t="shared" si="70"/>
        <v>0</v>
      </c>
      <c r="AJ74" s="464">
        <f t="shared" si="71"/>
        <v>0.43178939999999993</v>
      </c>
      <c r="AK74">
        <f t="shared" ref="AK74:AK137" si="84">Iq*Vin</f>
        <v>7.2000000000000008E-2</v>
      </c>
      <c r="AL74" s="464">
        <f t="shared" ref="AL74:AL137" si="85">Vin*(QgTop+QgBot)*Fsw</f>
        <v>0.98399999999999999</v>
      </c>
      <c r="AM74" s="464">
        <f t="shared" ref="AM74:AM137" si="86">(Vin-Vdd)*Fsw*(QgTop+QgBot)+(RdsonDRT+RdsonDRT2)*Fsw*QgTop*Vdd/(RdsonDRT+2*RGateTop+RdsonDRT2)+(RdsonDRB+RdsonDRB2)*Fsw*QgBot*Vdd/(RdsonDRB+2*RGateBot+RdsonDRB2)</f>
        <v>0.82265384615384629</v>
      </c>
      <c r="AN74" s="464">
        <f t="shared" si="42"/>
        <v>1.056</v>
      </c>
      <c r="AO74" s="464">
        <f t="shared" si="72"/>
        <v>3.3014132703217784</v>
      </c>
      <c r="AP74" s="100">
        <f t="shared" si="73"/>
        <v>76.7</v>
      </c>
      <c r="AQ74" s="10">
        <f t="shared" si="43"/>
        <v>0.95873306313769202</v>
      </c>
      <c r="AR74" s="77">
        <f t="shared" si="74"/>
        <v>30.93076900280855</v>
      </c>
      <c r="AS74" s="77">
        <f t="shared" si="44"/>
        <v>10.058073038665507</v>
      </c>
      <c r="AT74" s="10"/>
      <c r="AU74">
        <f t="shared" si="45"/>
        <v>95.873306313769206</v>
      </c>
      <c r="BE74" s="31"/>
      <c r="BF74" s="32"/>
    </row>
    <row r="75" spans="1:58" x14ac:dyDescent="0.2">
      <c r="A75" s="52" t="s">
        <v>207</v>
      </c>
      <c r="B75" s="142">
        <f>AN9</f>
        <v>1.056</v>
      </c>
      <c r="C75" s="143" t="s">
        <v>208</v>
      </c>
      <c r="G75">
        <v>66</v>
      </c>
      <c r="H75">
        <f t="shared" si="55"/>
        <v>6.6000000000000005</v>
      </c>
      <c r="I75" s="463">
        <f t="shared" si="75"/>
        <v>0.49353666666666668</v>
      </c>
      <c r="J75" s="464">
        <f t="shared" si="56"/>
        <v>8.0281964444444451</v>
      </c>
      <c r="K75" s="464">
        <f t="shared" si="76"/>
        <v>10.614098222222223</v>
      </c>
      <c r="L75" s="464">
        <f t="shared" si="77"/>
        <v>2.585901777777778</v>
      </c>
      <c r="M75" s="77">
        <f t="shared" si="57"/>
        <v>0</v>
      </c>
      <c r="N75" s="463">
        <f t="shared" si="58"/>
        <v>6.9950693238796813</v>
      </c>
      <c r="O75" s="463">
        <f t="shared" si="78"/>
        <v>0.24953905185344771</v>
      </c>
      <c r="P75">
        <f t="shared" si="59"/>
        <v>0.5</v>
      </c>
      <c r="Q75" s="463">
        <f t="shared" si="79"/>
        <v>0.74953905185344771</v>
      </c>
      <c r="R75" s="9">
        <f t="shared" ref="R75:R109" si="87">J75/(2*SQRT(3))</f>
        <v>2.3175406891535983</v>
      </c>
      <c r="S75" s="9">
        <f t="shared" si="80"/>
        <v>1.6112984537647607E-2</v>
      </c>
      <c r="T75" s="9">
        <f t="shared" ref="T75:T109" si="88">S75</f>
        <v>1.6112984537647607E-2</v>
      </c>
      <c r="U75" s="463">
        <f t="shared" si="60"/>
        <v>4.9141876330600889</v>
      </c>
      <c r="V75" s="465">
        <f t="shared" si="81"/>
        <v>0.24149240092920718</v>
      </c>
      <c r="W75" s="463">
        <f t="shared" ref="W75:W109" si="89">V75</f>
        <v>0.24149240092920718</v>
      </c>
      <c r="X75" s="463">
        <f t="shared" si="61"/>
        <v>4.9141876330600889</v>
      </c>
      <c r="Y75" s="463">
        <f t="shared" si="82"/>
        <v>4.3468632167257291E-2</v>
      </c>
      <c r="Z75" s="463">
        <f t="shared" si="62"/>
        <v>0.54799409022989087</v>
      </c>
      <c r="AA75" s="463">
        <f t="shared" si="63"/>
        <v>2.9999999999999992E-2</v>
      </c>
      <c r="AB75" s="463">
        <f t="shared" si="64"/>
        <v>0</v>
      </c>
      <c r="AC75" s="463">
        <f t="shared" si="65"/>
        <v>0.62691293192489617</v>
      </c>
      <c r="AD75" s="463">
        <f t="shared" si="66"/>
        <v>4.9781276352622603</v>
      </c>
      <c r="AE75" s="463">
        <f t="shared" si="83"/>
        <v>4.4607158555331282E-2</v>
      </c>
      <c r="AF75" s="463">
        <f t="shared" si="67"/>
        <v>0.15840000000000001</v>
      </c>
      <c r="AG75" s="463">
        <f t="shared" si="68"/>
        <v>0.20483457623931556</v>
      </c>
      <c r="AH75" s="463">
        <f t="shared" si="69"/>
        <v>0</v>
      </c>
      <c r="AI75">
        <f t="shared" si="70"/>
        <v>0</v>
      </c>
      <c r="AJ75" s="464">
        <f t="shared" si="71"/>
        <v>0.43178615999999992</v>
      </c>
      <c r="AK75">
        <f t="shared" si="84"/>
        <v>7.2000000000000008E-2</v>
      </c>
      <c r="AL75" s="464">
        <f t="shared" si="85"/>
        <v>0.98399999999999999</v>
      </c>
      <c r="AM75" s="464">
        <f t="shared" si="86"/>
        <v>0.82265384615384629</v>
      </c>
      <c r="AN75" s="464">
        <f t="shared" ref="AN75:AN109" si="90">SUM(AK75:AL75)</f>
        <v>1.056</v>
      </c>
      <c r="AO75" s="464">
        <f t="shared" si="72"/>
        <v>3.3266781054845147</v>
      </c>
      <c r="AP75" s="100">
        <f t="shared" si="73"/>
        <v>77.88000000000001</v>
      </c>
      <c r="AQ75" s="10">
        <f t="shared" ref="AQ75:AQ109" si="91">AP75/(AP75+AO75)</f>
        <v>0.95903442693268048</v>
      </c>
      <c r="AR75" s="77">
        <f t="shared" si="74"/>
        <v>31.345646596244809</v>
      </c>
      <c r="AS75" s="77">
        <f t="shared" ref="AS75:AS109" si="92">AG75*ThetaJaBot</f>
        <v>10.241728811965778</v>
      </c>
      <c r="AT75" s="10"/>
      <c r="AU75">
        <f t="shared" ref="AU75:AU109" si="93">AQ75*100</f>
        <v>95.903442693268047</v>
      </c>
      <c r="BE75" s="31"/>
      <c r="BF75" s="32"/>
    </row>
    <row r="76" spans="1:58" x14ac:dyDescent="0.2">
      <c r="A76" s="52" t="s">
        <v>211</v>
      </c>
      <c r="B76" s="141">
        <f>B75*B62</f>
        <v>21.12</v>
      </c>
      <c r="C76" s="474" t="s">
        <v>442</v>
      </c>
      <c r="G76">
        <v>67</v>
      </c>
      <c r="H76">
        <f t="shared" si="55"/>
        <v>6.7</v>
      </c>
      <c r="I76" s="463">
        <f t="shared" si="75"/>
        <v>0.49356500000000003</v>
      </c>
      <c r="J76" s="464">
        <f t="shared" si="56"/>
        <v>8.0286573333333333</v>
      </c>
      <c r="K76" s="464">
        <f t="shared" si="76"/>
        <v>10.714328666666667</v>
      </c>
      <c r="L76" s="464">
        <f t="shared" si="77"/>
        <v>2.6856713333333335</v>
      </c>
      <c r="M76" s="77">
        <f t="shared" si="57"/>
        <v>0</v>
      </c>
      <c r="N76" s="463">
        <f t="shared" si="58"/>
        <v>7.0895424075187856</v>
      </c>
      <c r="O76" s="463">
        <f t="shared" si="78"/>
        <v>0.25646417891467144</v>
      </c>
      <c r="P76">
        <f t="shared" si="59"/>
        <v>0.5</v>
      </c>
      <c r="Q76" s="463">
        <f t="shared" si="79"/>
        <v>0.75646417891467144</v>
      </c>
      <c r="R76" s="9">
        <f t="shared" si="87"/>
        <v>2.3176737363156317</v>
      </c>
      <c r="S76" s="9">
        <f t="shared" si="80"/>
        <v>1.6114834644021782E-2</v>
      </c>
      <c r="T76" s="9">
        <f t="shared" si="88"/>
        <v>1.6114834644021782E-2</v>
      </c>
      <c r="U76" s="463">
        <f t="shared" si="60"/>
        <v>4.9806999812970263</v>
      </c>
      <c r="V76" s="465">
        <f t="shared" si="81"/>
        <v>0.24807372303692199</v>
      </c>
      <c r="W76" s="463">
        <f t="shared" si="89"/>
        <v>0.24807372303692199</v>
      </c>
      <c r="X76" s="463">
        <f t="shared" si="61"/>
        <v>4.9806999812970263</v>
      </c>
      <c r="Y76" s="463">
        <f t="shared" si="82"/>
        <v>4.4653270146645954E-2</v>
      </c>
      <c r="Z76" s="463">
        <f t="shared" si="62"/>
        <v>0.55490841737002794</v>
      </c>
      <c r="AA76" s="463">
        <f t="shared" si="63"/>
        <v>2.9999999999999992E-2</v>
      </c>
      <c r="AB76" s="463">
        <f t="shared" si="64"/>
        <v>0</v>
      </c>
      <c r="AC76" s="463">
        <f t="shared" si="65"/>
        <v>0.63523474928999057</v>
      </c>
      <c r="AD76" s="463">
        <f t="shared" si="66"/>
        <v>5.0452194446143821</v>
      </c>
      <c r="AE76" s="463">
        <f t="shared" si="83"/>
        <v>4.5817630639767098E-2</v>
      </c>
      <c r="AF76" s="463">
        <f t="shared" si="67"/>
        <v>0.1608</v>
      </c>
      <c r="AG76" s="463">
        <f t="shared" si="68"/>
        <v>0.20852848687769343</v>
      </c>
      <c r="AH76" s="463">
        <f t="shared" si="69"/>
        <v>0</v>
      </c>
      <c r="AI76">
        <f t="shared" si="70"/>
        <v>0</v>
      </c>
      <c r="AJ76" s="464">
        <f t="shared" si="71"/>
        <v>0.43178291999999996</v>
      </c>
      <c r="AK76">
        <f t="shared" si="84"/>
        <v>7.2000000000000008E-2</v>
      </c>
      <c r="AL76" s="464">
        <f t="shared" si="85"/>
        <v>0.98399999999999999</v>
      </c>
      <c r="AM76" s="464">
        <f t="shared" si="86"/>
        <v>0.82265384615384629</v>
      </c>
      <c r="AN76" s="464">
        <f t="shared" si="90"/>
        <v>1.056</v>
      </c>
      <c r="AO76" s="464">
        <f t="shared" si="72"/>
        <v>3.3521988927632993</v>
      </c>
      <c r="AP76" s="100">
        <f t="shared" si="73"/>
        <v>79.06</v>
      </c>
      <c r="AQ76" s="10">
        <f t="shared" si="91"/>
        <v>0.95932399647380773</v>
      </c>
      <c r="AR76" s="77">
        <f t="shared" si="74"/>
        <v>31.761737464499529</v>
      </c>
      <c r="AS76" s="77">
        <f t="shared" si="92"/>
        <v>10.426424343884671</v>
      </c>
      <c r="AT76" s="10"/>
      <c r="AU76">
        <f t="shared" si="93"/>
        <v>95.932399647380777</v>
      </c>
      <c r="BE76" s="31"/>
      <c r="BF76" s="32"/>
    </row>
    <row r="77" spans="1:58" x14ac:dyDescent="0.2">
      <c r="A77" s="52" t="s">
        <v>388</v>
      </c>
      <c r="B77" s="141">
        <f>(QgBot+QgTop)*Fsw+Iq</f>
        <v>4.4000000000000004E-2</v>
      </c>
      <c r="C77" s="34" t="s">
        <v>2</v>
      </c>
      <c r="G77">
        <v>68</v>
      </c>
      <c r="H77">
        <f t="shared" si="55"/>
        <v>6.8000000000000007</v>
      </c>
      <c r="I77" s="463">
        <f t="shared" si="75"/>
        <v>0.49359333333333338</v>
      </c>
      <c r="J77" s="464">
        <f t="shared" si="56"/>
        <v>8.0291182222222215</v>
      </c>
      <c r="K77" s="464">
        <f t="shared" si="76"/>
        <v>10.814559111111112</v>
      </c>
      <c r="L77" s="464">
        <f t="shared" si="77"/>
        <v>2.78544088888889</v>
      </c>
      <c r="M77" s="77">
        <f t="shared" si="57"/>
        <v>0</v>
      </c>
      <c r="N77" s="463">
        <f t="shared" si="58"/>
        <v>7.1841651070625518</v>
      </c>
      <c r="O77" s="463">
        <f t="shared" si="78"/>
        <v>0.2635010928507559</v>
      </c>
      <c r="P77">
        <f t="shared" si="59"/>
        <v>0.5</v>
      </c>
      <c r="Q77" s="463">
        <f t="shared" si="79"/>
        <v>0.76350109285075596</v>
      </c>
      <c r="R77" s="9">
        <f t="shared" si="87"/>
        <v>2.3178067834776646</v>
      </c>
      <c r="S77" s="9">
        <f t="shared" si="80"/>
        <v>1.611668485660523E-2</v>
      </c>
      <c r="T77" s="9">
        <f t="shared" si="88"/>
        <v>1.611668485660523E-2</v>
      </c>
      <c r="U77" s="463">
        <f t="shared" si="60"/>
        <v>5.0473212499521187</v>
      </c>
      <c r="V77" s="465">
        <f t="shared" si="81"/>
        <v>0.25475451800218218</v>
      </c>
      <c r="W77" s="463">
        <f t="shared" si="89"/>
        <v>0.25475451800218218</v>
      </c>
      <c r="X77" s="463">
        <f t="shared" si="61"/>
        <v>5.0473212499521187</v>
      </c>
      <c r="Y77" s="463">
        <f t="shared" si="82"/>
        <v>4.5855813240392791E-2</v>
      </c>
      <c r="Z77" s="463">
        <f t="shared" si="62"/>
        <v>0.56182274451016512</v>
      </c>
      <c r="AA77" s="463">
        <f t="shared" si="63"/>
        <v>2.9999999999999992E-2</v>
      </c>
      <c r="AB77" s="463">
        <f t="shared" si="64"/>
        <v>0</v>
      </c>
      <c r="AC77" s="463">
        <f t="shared" si="65"/>
        <v>0.64358094325838444</v>
      </c>
      <c r="AD77" s="463">
        <f t="shared" si="66"/>
        <v>5.1124139587201727</v>
      </c>
      <c r="AE77" s="463">
        <f t="shared" si="83"/>
        <v>4.7046197673570364E-2</v>
      </c>
      <c r="AF77" s="463">
        <f t="shared" si="67"/>
        <v>0.16320000000000001</v>
      </c>
      <c r="AG77" s="463">
        <f t="shared" si="68"/>
        <v>0.21224324520735141</v>
      </c>
      <c r="AH77" s="463">
        <f t="shared" si="69"/>
        <v>0</v>
      </c>
      <c r="AI77">
        <f t="shared" si="70"/>
        <v>0</v>
      </c>
      <c r="AJ77" s="464">
        <f t="shared" si="71"/>
        <v>0.43177968</v>
      </c>
      <c r="AK77">
        <f t="shared" si="84"/>
        <v>7.2000000000000008E-2</v>
      </c>
      <c r="AL77" s="464">
        <f t="shared" si="85"/>
        <v>0.98399999999999999</v>
      </c>
      <c r="AM77" s="464">
        <f t="shared" si="86"/>
        <v>0.82265384615384629</v>
      </c>
      <c r="AN77" s="464">
        <f t="shared" si="90"/>
        <v>1.056</v>
      </c>
      <c r="AO77" s="464">
        <f t="shared" si="72"/>
        <v>3.377976164175279</v>
      </c>
      <c r="AP77" s="100">
        <f t="shared" si="73"/>
        <v>80.240000000000009</v>
      </c>
      <c r="AQ77" s="10">
        <f t="shared" si="91"/>
        <v>0.95960227310999524</v>
      </c>
      <c r="AR77" s="77">
        <f t="shared" si="74"/>
        <v>32.179047162919225</v>
      </c>
      <c r="AS77" s="77">
        <f t="shared" si="92"/>
        <v>10.612162260367571</v>
      </c>
      <c r="AT77" s="10"/>
      <c r="AU77">
        <f t="shared" si="93"/>
        <v>95.960227310999528</v>
      </c>
      <c r="BE77" s="31"/>
      <c r="BF77" s="32"/>
    </row>
    <row r="78" spans="1:58" x14ac:dyDescent="0.2">
      <c r="A78" s="52" t="s">
        <v>389</v>
      </c>
      <c r="B78" s="140">
        <f>QrrBot*Fsw</f>
        <v>1.7999999999999999E-2</v>
      </c>
      <c r="C78" s="34" t="s">
        <v>2</v>
      </c>
      <c r="G78">
        <v>69</v>
      </c>
      <c r="H78">
        <f t="shared" si="55"/>
        <v>6.8999999999999995</v>
      </c>
      <c r="I78" s="463">
        <f t="shared" si="75"/>
        <v>0.49362166666666668</v>
      </c>
      <c r="J78" s="464">
        <f t="shared" si="56"/>
        <v>8.0295791111111114</v>
      </c>
      <c r="K78" s="464">
        <f t="shared" si="76"/>
        <v>10.914789555555554</v>
      </c>
      <c r="L78" s="464">
        <f t="shared" si="77"/>
        <v>2.8852104444444437</v>
      </c>
      <c r="M78" s="77">
        <f t="shared" si="57"/>
        <v>0</v>
      </c>
      <c r="N78" s="463">
        <f t="shared" si="58"/>
        <v>7.2789315877033758</v>
      </c>
      <c r="O78" s="463">
        <f t="shared" si="78"/>
        <v>0.27065015130498693</v>
      </c>
      <c r="P78">
        <f t="shared" si="59"/>
        <v>0.5</v>
      </c>
      <c r="Q78" s="463">
        <f t="shared" si="79"/>
        <v>0.77065015130498693</v>
      </c>
      <c r="R78" s="9">
        <f t="shared" si="87"/>
        <v>2.3179398306396983</v>
      </c>
      <c r="S78" s="9">
        <f t="shared" si="80"/>
        <v>1.6118535175397981E-2</v>
      </c>
      <c r="T78" s="9">
        <f t="shared" si="88"/>
        <v>1.6118535175397981E-2</v>
      </c>
      <c r="U78" s="463">
        <f t="shared" si="60"/>
        <v>5.1140473484806286</v>
      </c>
      <c r="V78" s="465">
        <f t="shared" si="81"/>
        <v>0.26153480282501745</v>
      </c>
      <c r="W78" s="463">
        <f t="shared" si="89"/>
        <v>0.26153480282501745</v>
      </c>
      <c r="X78" s="463">
        <f t="shared" si="61"/>
        <v>5.1140473484806286</v>
      </c>
      <c r="Y78" s="463">
        <f t="shared" si="82"/>
        <v>4.7076264508503142E-2</v>
      </c>
      <c r="Z78" s="463">
        <f t="shared" si="62"/>
        <v>0.56873707165030185</v>
      </c>
      <c r="AA78" s="463">
        <f t="shared" si="63"/>
        <v>2.9999999999999992E-2</v>
      </c>
      <c r="AB78" s="463">
        <f t="shared" si="64"/>
        <v>0</v>
      </c>
      <c r="AC78" s="463">
        <f t="shared" si="65"/>
        <v>0.65195162559344211</v>
      </c>
      <c r="AD78" s="463">
        <f t="shared" si="66"/>
        <v>5.179707016421319</v>
      </c>
      <c r="AE78" s="463">
        <f t="shared" si="83"/>
        <v>4.8292856596735635E-2</v>
      </c>
      <c r="AF78" s="463">
        <f t="shared" si="67"/>
        <v>0.16559999999999997</v>
      </c>
      <c r="AG78" s="463">
        <f t="shared" si="68"/>
        <v>0.21597890424687852</v>
      </c>
      <c r="AH78" s="463">
        <f t="shared" si="69"/>
        <v>0</v>
      </c>
      <c r="AI78">
        <f t="shared" si="70"/>
        <v>0</v>
      </c>
      <c r="AJ78" s="464">
        <f t="shared" si="71"/>
        <v>0.43177643999999998</v>
      </c>
      <c r="AK78">
        <f t="shared" si="84"/>
        <v>7.2000000000000008E-2</v>
      </c>
      <c r="AL78" s="464">
        <f t="shared" si="85"/>
        <v>0.98399999999999999</v>
      </c>
      <c r="AM78" s="464">
        <f t="shared" si="86"/>
        <v>0.82265384615384629</v>
      </c>
      <c r="AN78" s="464">
        <f t="shared" si="90"/>
        <v>1.056</v>
      </c>
      <c r="AO78" s="464">
        <f t="shared" si="72"/>
        <v>3.4040104591457232</v>
      </c>
      <c r="AP78" s="100">
        <f t="shared" si="73"/>
        <v>81.42</v>
      </c>
      <c r="AQ78" s="10">
        <f t="shared" si="91"/>
        <v>0.95986972980032326</v>
      </c>
      <c r="AR78" s="77">
        <f t="shared" si="74"/>
        <v>32.597581279672106</v>
      </c>
      <c r="AS78" s="77">
        <f t="shared" si="92"/>
        <v>10.798945212343925</v>
      </c>
      <c r="AT78" s="10"/>
      <c r="AU78">
        <f t="shared" si="93"/>
        <v>95.98697298003232</v>
      </c>
      <c r="BE78" s="31"/>
      <c r="BF78" s="32"/>
    </row>
    <row r="79" spans="1:58" x14ac:dyDescent="0.2">
      <c r="A79" s="52" t="s">
        <v>390</v>
      </c>
      <c r="B79" s="541">
        <f>C79/Vin</f>
        <v>2.5274999999999994E-4</v>
      </c>
      <c r="C79" s="540">
        <f>Deadtime*Fsw*(Ipp/2)*(VsdTop+VsdBot)</f>
        <v>6.0659999999999985E-3</v>
      </c>
      <c r="G79">
        <v>70</v>
      </c>
      <c r="H79">
        <f t="shared" si="55"/>
        <v>7</v>
      </c>
      <c r="I79" s="463">
        <f t="shared" si="75"/>
        <v>0.49365000000000009</v>
      </c>
      <c r="J79" s="464">
        <f t="shared" si="56"/>
        <v>8.0300400000000014</v>
      </c>
      <c r="K79" s="464">
        <f t="shared" si="76"/>
        <v>11.01502</v>
      </c>
      <c r="L79" s="464">
        <f t="shared" si="77"/>
        <v>2.9849799999999993</v>
      </c>
      <c r="M79" s="77">
        <f t="shared" si="57"/>
        <v>0</v>
      </c>
      <c r="N79" s="463">
        <f t="shared" si="58"/>
        <v>7.3738363059400767</v>
      </c>
      <c r="O79" s="463">
        <f t="shared" si="78"/>
        <v>0.27791171821917077</v>
      </c>
      <c r="P79">
        <f t="shared" si="59"/>
        <v>0.5</v>
      </c>
      <c r="Q79" s="463">
        <f t="shared" si="79"/>
        <v>0.77791171821917082</v>
      </c>
      <c r="R79" s="9">
        <f t="shared" si="87"/>
        <v>2.3180728778017317</v>
      </c>
      <c r="S79" s="9">
        <f t="shared" si="80"/>
        <v>1.6120385600400008E-2</v>
      </c>
      <c r="T79" s="9">
        <f t="shared" si="88"/>
        <v>1.6120385600400008E-2</v>
      </c>
      <c r="U79" s="463">
        <f t="shared" si="60"/>
        <v>5.1808743905392864</v>
      </c>
      <c r="V79" s="465">
        <f t="shared" si="81"/>
        <v>0.26841459450545824</v>
      </c>
      <c r="W79" s="463">
        <f t="shared" si="89"/>
        <v>0.26841459450545824</v>
      </c>
      <c r="X79" s="463">
        <f t="shared" si="61"/>
        <v>5.1808743905392864</v>
      </c>
      <c r="Y79" s="463">
        <f t="shared" si="82"/>
        <v>4.8314627010982478E-2</v>
      </c>
      <c r="Z79" s="463">
        <f t="shared" si="62"/>
        <v>0.57565139879043903</v>
      </c>
      <c r="AA79" s="463">
        <f t="shared" si="63"/>
        <v>2.9999999999999992E-2</v>
      </c>
      <c r="AB79" s="463">
        <f t="shared" si="64"/>
        <v>0</v>
      </c>
      <c r="AC79" s="463">
        <f t="shared" si="65"/>
        <v>0.6603469087199535</v>
      </c>
      <c r="AD79" s="463">
        <f t="shared" si="66"/>
        <v>5.2470946643122582</v>
      </c>
      <c r="AE79" s="463">
        <f t="shared" si="83"/>
        <v>4.9557604349257503E-2</v>
      </c>
      <c r="AF79" s="463">
        <f t="shared" si="67"/>
        <v>0.16800000000000001</v>
      </c>
      <c r="AG79" s="463">
        <f t="shared" si="68"/>
        <v>0.21973551751697465</v>
      </c>
      <c r="AH79" s="463">
        <f t="shared" si="69"/>
        <v>0</v>
      </c>
      <c r="AI79">
        <f t="shared" si="70"/>
        <v>0</v>
      </c>
      <c r="AJ79" s="464">
        <f t="shared" si="71"/>
        <v>0.43177319999999997</v>
      </c>
      <c r="AK79">
        <f t="shared" si="84"/>
        <v>7.2000000000000008E-2</v>
      </c>
      <c r="AL79" s="464">
        <f t="shared" si="85"/>
        <v>0.98399999999999999</v>
      </c>
      <c r="AM79" s="464">
        <f t="shared" si="86"/>
        <v>0.82265384615384629</v>
      </c>
      <c r="AN79" s="464">
        <f t="shared" si="90"/>
        <v>1.056</v>
      </c>
      <c r="AO79" s="464">
        <f t="shared" si="72"/>
        <v>3.4303023245619571</v>
      </c>
      <c r="AP79" s="100">
        <f t="shared" si="73"/>
        <v>82.600000000000009</v>
      </c>
      <c r="AQ79" s="10">
        <f t="shared" si="91"/>
        <v>0.96012681308940839</v>
      </c>
      <c r="AR79" s="77">
        <f t="shared" si="74"/>
        <v>33.017345435997676</v>
      </c>
      <c r="AS79" s="77">
        <f t="shared" si="92"/>
        <v>10.986775875848732</v>
      </c>
      <c r="AT79" s="10"/>
      <c r="AU79">
        <f t="shared" si="93"/>
        <v>96.012681308940842</v>
      </c>
      <c r="BE79" s="31"/>
      <c r="BF79" s="32"/>
    </row>
    <row r="80" spans="1:58" x14ac:dyDescent="0.2">
      <c r="A80" s="52" t="s">
        <v>92</v>
      </c>
      <c r="B80" s="541">
        <f>SUM(B77:B79)</f>
        <v>6.2252750000000003E-2</v>
      </c>
      <c r="C80" s="34" t="s">
        <v>2</v>
      </c>
      <c r="G80">
        <v>71</v>
      </c>
      <c r="H80">
        <f t="shared" si="55"/>
        <v>7.1</v>
      </c>
      <c r="I80" s="463">
        <f t="shared" si="75"/>
        <v>0.49367833333333339</v>
      </c>
      <c r="J80" s="464">
        <f t="shared" si="56"/>
        <v>8.0305008888888896</v>
      </c>
      <c r="K80" s="464">
        <f t="shared" si="76"/>
        <v>11.115250444444445</v>
      </c>
      <c r="L80" s="464">
        <f t="shared" si="77"/>
        <v>3.0847495555555549</v>
      </c>
      <c r="M80" s="77">
        <f t="shared" si="57"/>
        <v>0</v>
      </c>
      <c r="N80" s="463">
        <f t="shared" si="58"/>
        <v>7.4688739921448066</v>
      </c>
      <c r="O80" s="463">
        <f t="shared" si="78"/>
        <v>0.28528616388107308</v>
      </c>
      <c r="P80">
        <f t="shared" si="59"/>
        <v>0.5</v>
      </c>
      <c r="Q80" s="463">
        <f t="shared" si="79"/>
        <v>0.78528616388107308</v>
      </c>
      <c r="R80" s="9">
        <f t="shared" si="87"/>
        <v>2.318205924963765</v>
      </c>
      <c r="S80" s="9">
        <f t="shared" si="80"/>
        <v>1.6122236131611317E-2</v>
      </c>
      <c r="T80" s="9">
        <f t="shared" si="88"/>
        <v>1.6122236131611317E-2</v>
      </c>
      <c r="U80" s="463">
        <f t="shared" si="60"/>
        <v>5.2477986817668079</v>
      </c>
      <c r="V80" s="465">
        <f t="shared" si="81"/>
        <v>0.27539391004353447</v>
      </c>
      <c r="W80" s="463">
        <f t="shared" si="89"/>
        <v>0.27539391004353447</v>
      </c>
      <c r="X80" s="463">
        <f t="shared" si="61"/>
        <v>5.2477986817668079</v>
      </c>
      <c r="Y80" s="463">
        <f t="shared" si="82"/>
        <v>4.9570903807836207E-2</v>
      </c>
      <c r="Z80" s="463">
        <f t="shared" si="62"/>
        <v>0.58256572593057609</v>
      </c>
      <c r="AA80" s="463">
        <f t="shared" si="63"/>
        <v>2.9999999999999992E-2</v>
      </c>
      <c r="AB80" s="463">
        <f t="shared" si="64"/>
        <v>0</v>
      </c>
      <c r="AC80" s="463">
        <f t="shared" si="65"/>
        <v>0.66876690572916531</v>
      </c>
      <c r="AD80" s="463">
        <f t="shared" si="66"/>
        <v>5.314573144306479</v>
      </c>
      <c r="AE80" s="463">
        <f t="shared" si="83"/>
        <v>5.084043787113058E-2</v>
      </c>
      <c r="AF80" s="463">
        <f t="shared" si="67"/>
        <v>0.1704</v>
      </c>
      <c r="AG80" s="463">
        <f t="shared" si="68"/>
        <v>0.22351313904290906</v>
      </c>
      <c r="AH80" s="463">
        <f t="shared" si="69"/>
        <v>0</v>
      </c>
      <c r="AI80">
        <f t="shared" si="70"/>
        <v>0</v>
      </c>
      <c r="AJ80" s="464">
        <f t="shared" si="71"/>
        <v>0.43176995999999995</v>
      </c>
      <c r="AK80">
        <f t="shared" si="84"/>
        <v>7.2000000000000008E-2</v>
      </c>
      <c r="AL80" s="464">
        <f t="shared" si="85"/>
        <v>0.98399999999999999</v>
      </c>
      <c r="AM80" s="464">
        <f t="shared" si="86"/>
        <v>0.82265384615384629</v>
      </c>
      <c r="AN80" s="464">
        <f t="shared" si="90"/>
        <v>1.056</v>
      </c>
      <c r="AO80" s="464">
        <f t="shared" si="72"/>
        <v>3.4568523148282937</v>
      </c>
      <c r="AP80" s="100">
        <f t="shared" si="73"/>
        <v>83.78</v>
      </c>
      <c r="AQ80" s="10">
        <f t="shared" si="91"/>
        <v>0.96037394492005634</v>
      </c>
      <c r="AR80" s="77">
        <f t="shared" si="74"/>
        <v>33.438345286458265</v>
      </c>
      <c r="AS80" s="77">
        <f t="shared" si="92"/>
        <v>11.175656952145454</v>
      </c>
      <c r="AT80" s="10"/>
      <c r="AU80">
        <f t="shared" si="93"/>
        <v>96.037394492005632</v>
      </c>
      <c r="BE80" s="31"/>
      <c r="BF80" s="32"/>
    </row>
    <row r="81" spans="1:58" x14ac:dyDescent="0.2">
      <c r="A81" s="62"/>
      <c r="B81" s="53"/>
      <c r="C81" s="53"/>
      <c r="G81">
        <v>72</v>
      </c>
      <c r="H81">
        <f t="shared" si="55"/>
        <v>7.1999999999999993</v>
      </c>
      <c r="I81" s="463">
        <f t="shared" si="75"/>
        <v>0.49370666666666668</v>
      </c>
      <c r="J81" s="464">
        <f t="shared" si="56"/>
        <v>8.0309617777777778</v>
      </c>
      <c r="K81" s="464">
        <f t="shared" si="76"/>
        <v>11.215480888888887</v>
      </c>
      <c r="L81" s="464">
        <f t="shared" si="77"/>
        <v>3.1845191111111104</v>
      </c>
      <c r="M81" s="77">
        <f t="shared" si="57"/>
        <v>0</v>
      </c>
      <c r="N81" s="463">
        <f t="shared" si="58"/>
        <v>7.5640396343274992</v>
      </c>
      <c r="O81" s="463">
        <f t="shared" si="78"/>
        <v>0.29277386497279928</v>
      </c>
      <c r="P81">
        <f t="shared" si="59"/>
        <v>0.5</v>
      </c>
      <c r="Q81" s="463">
        <f t="shared" si="79"/>
        <v>0.79277386497279934</v>
      </c>
      <c r="R81" s="9">
        <f t="shared" si="87"/>
        <v>2.3183389721257979</v>
      </c>
      <c r="S81" s="9">
        <f t="shared" si="80"/>
        <v>1.6124086769031903E-2</v>
      </c>
      <c r="T81" s="9">
        <f t="shared" si="88"/>
        <v>1.6124086769031903E-2</v>
      </c>
      <c r="U81" s="463">
        <f t="shared" si="60"/>
        <v>5.3148167084037441</v>
      </c>
      <c r="V81" s="465">
        <f t="shared" si="81"/>
        <v>0.2824727664392761</v>
      </c>
      <c r="W81" s="463">
        <f t="shared" si="89"/>
        <v>0.2824727664392761</v>
      </c>
      <c r="X81" s="463">
        <f t="shared" si="61"/>
        <v>5.3148167084037441</v>
      </c>
      <c r="Y81" s="463">
        <f t="shared" si="82"/>
        <v>5.0845097959069697E-2</v>
      </c>
      <c r="Z81" s="463">
        <f t="shared" si="62"/>
        <v>0.58948005307071294</v>
      </c>
      <c r="AA81" s="463">
        <f t="shared" si="63"/>
        <v>2.9999999999999992E-2</v>
      </c>
      <c r="AB81" s="463">
        <f t="shared" si="64"/>
        <v>0</v>
      </c>
      <c r="AC81" s="463">
        <f t="shared" si="65"/>
        <v>0.67721173038386229</v>
      </c>
      <c r="AD81" s="463">
        <f t="shared" si="66"/>
        <v>5.3821388820569913</v>
      </c>
      <c r="AE81" s="463">
        <f t="shared" si="83"/>
        <v>5.2141354102349428E-2</v>
      </c>
      <c r="AF81" s="463">
        <f t="shared" si="67"/>
        <v>0.17279999999999998</v>
      </c>
      <c r="AG81" s="463">
        <f t="shared" si="68"/>
        <v>0.22731182335701114</v>
      </c>
      <c r="AH81" s="463">
        <f t="shared" si="69"/>
        <v>0</v>
      </c>
      <c r="AI81">
        <f t="shared" si="70"/>
        <v>0</v>
      </c>
      <c r="AJ81" s="464">
        <f t="shared" si="71"/>
        <v>0.43176671999999999</v>
      </c>
      <c r="AK81">
        <f t="shared" si="84"/>
        <v>7.2000000000000008E-2</v>
      </c>
      <c r="AL81" s="464">
        <f t="shared" si="85"/>
        <v>0.98399999999999999</v>
      </c>
      <c r="AM81" s="464">
        <f t="shared" si="86"/>
        <v>0.82265384615384629</v>
      </c>
      <c r="AN81" s="464">
        <f t="shared" si="90"/>
        <v>1.056</v>
      </c>
      <c r="AO81" s="464">
        <f t="shared" si="72"/>
        <v>3.483660991921981</v>
      </c>
      <c r="AP81" s="100">
        <f t="shared" si="73"/>
        <v>84.96</v>
      </c>
      <c r="AQ81" s="10">
        <f t="shared" si="91"/>
        <v>0.96061152429861352</v>
      </c>
      <c r="AR81" s="77">
        <f t="shared" si="74"/>
        <v>33.860586519193113</v>
      </c>
      <c r="AS81" s="77">
        <f t="shared" si="92"/>
        <v>11.365591167850557</v>
      </c>
      <c r="AT81" s="10"/>
      <c r="AU81">
        <f t="shared" si="93"/>
        <v>96.061152429861352</v>
      </c>
      <c r="BE81" s="31"/>
      <c r="BF81" s="32"/>
    </row>
    <row r="82" spans="1:58" x14ac:dyDescent="0.2">
      <c r="A82" s="62"/>
      <c r="B82" s="53"/>
      <c r="C82" s="53"/>
      <c r="G82">
        <v>73</v>
      </c>
      <c r="H82">
        <f t="shared" si="55"/>
        <v>7.3</v>
      </c>
      <c r="I82" s="463">
        <f t="shared" si="75"/>
        <v>0.49373500000000003</v>
      </c>
      <c r="J82" s="464">
        <f t="shared" si="56"/>
        <v>8.0314226666666659</v>
      </c>
      <c r="K82" s="464">
        <f t="shared" si="76"/>
        <v>11.315711333333333</v>
      </c>
      <c r="L82" s="464">
        <f t="shared" si="77"/>
        <v>3.2842886666666669</v>
      </c>
      <c r="M82" s="77">
        <f t="shared" si="57"/>
        <v>0</v>
      </c>
      <c r="N82" s="463">
        <f t="shared" si="58"/>
        <v>7.6593284630064398</v>
      </c>
      <c r="O82" s="463">
        <f t="shared" si="78"/>
        <v>0.30037520462012651</v>
      </c>
      <c r="P82">
        <f t="shared" si="59"/>
        <v>0.5</v>
      </c>
      <c r="Q82" s="463">
        <f t="shared" si="79"/>
        <v>0.80037520462012646</v>
      </c>
      <c r="R82" s="9">
        <f t="shared" si="87"/>
        <v>2.3184720192878308</v>
      </c>
      <c r="S82" s="9">
        <f t="shared" si="80"/>
        <v>1.6125937512661774E-2</v>
      </c>
      <c r="T82" s="9">
        <f t="shared" si="88"/>
        <v>1.6125937512661774E-2</v>
      </c>
      <c r="U82" s="463">
        <f t="shared" si="60"/>
        <v>5.3819251266876016</v>
      </c>
      <c r="V82" s="465">
        <f t="shared" si="81"/>
        <v>0.28965118069271356</v>
      </c>
      <c r="W82" s="463">
        <f t="shared" si="89"/>
        <v>0.28965118069271356</v>
      </c>
      <c r="X82" s="463">
        <f t="shared" si="61"/>
        <v>5.3819251266876016</v>
      </c>
      <c r="Y82" s="463">
        <f t="shared" si="82"/>
        <v>5.2137212524688441E-2</v>
      </c>
      <c r="Z82" s="463">
        <f t="shared" si="62"/>
        <v>0.59639438021085012</v>
      </c>
      <c r="AA82" s="463">
        <f t="shared" si="63"/>
        <v>2.9999999999999992E-2</v>
      </c>
      <c r="AB82" s="463">
        <f t="shared" si="64"/>
        <v>0</v>
      </c>
      <c r="AC82" s="463">
        <f t="shared" si="65"/>
        <v>0.68568149712349336</v>
      </c>
      <c r="AD82" s="463">
        <f t="shared" si="66"/>
        <v>5.4497884761657716</v>
      </c>
      <c r="AE82" s="463">
        <f t="shared" si="83"/>
        <v>5.3460349982908634E-2</v>
      </c>
      <c r="AF82" s="463">
        <f t="shared" si="67"/>
        <v>0.17519999999999999</v>
      </c>
      <c r="AG82" s="463">
        <f t="shared" si="68"/>
        <v>0.23113162550119107</v>
      </c>
      <c r="AH82" s="463">
        <f t="shared" si="69"/>
        <v>0</v>
      </c>
      <c r="AI82">
        <f t="shared" si="70"/>
        <v>0</v>
      </c>
      <c r="AJ82" s="464">
        <f t="shared" si="71"/>
        <v>0.43176347999999998</v>
      </c>
      <c r="AK82">
        <f t="shared" si="84"/>
        <v>7.2000000000000008E-2</v>
      </c>
      <c r="AL82" s="464">
        <f t="shared" si="85"/>
        <v>0.98399999999999999</v>
      </c>
      <c r="AM82" s="464">
        <f t="shared" si="86"/>
        <v>0.82265384615384629</v>
      </c>
      <c r="AN82" s="464">
        <f t="shared" si="90"/>
        <v>1.056</v>
      </c>
      <c r="AO82" s="464">
        <f t="shared" si="72"/>
        <v>3.5107289254501861</v>
      </c>
      <c r="AP82" s="100">
        <f t="shared" si="73"/>
        <v>86.14</v>
      </c>
      <c r="AQ82" s="10">
        <f t="shared" si="91"/>
        <v>0.9608399288267967</v>
      </c>
      <c r="AR82" s="77">
        <f t="shared" si="74"/>
        <v>34.284074856174669</v>
      </c>
      <c r="AS82" s="77">
        <f t="shared" si="92"/>
        <v>11.556581275059553</v>
      </c>
      <c r="AT82" s="10"/>
      <c r="AU82">
        <f t="shared" si="93"/>
        <v>96.083992882679667</v>
      </c>
      <c r="BE82" s="31"/>
      <c r="BF82" s="32"/>
    </row>
    <row r="83" spans="1:58" x14ac:dyDescent="0.2">
      <c r="A83" s="62"/>
      <c r="B83" s="53"/>
      <c r="C83" s="53"/>
      <c r="G83">
        <v>74</v>
      </c>
      <c r="H83">
        <f t="shared" si="55"/>
        <v>7.4</v>
      </c>
      <c r="I83" s="463">
        <f t="shared" si="75"/>
        <v>0.49376333333333339</v>
      </c>
      <c r="J83" s="464">
        <f t="shared" si="56"/>
        <v>8.0318835555555559</v>
      </c>
      <c r="K83" s="464">
        <f t="shared" si="76"/>
        <v>11.415941777777778</v>
      </c>
      <c r="L83" s="464">
        <f t="shared" si="77"/>
        <v>3.3840582222222224</v>
      </c>
      <c r="M83" s="77">
        <f t="shared" si="57"/>
        <v>0</v>
      </c>
      <c r="N83" s="463">
        <f t="shared" si="58"/>
        <v>7.7547359371010813</v>
      </c>
      <c r="O83" s="463">
        <f t="shared" si="78"/>
        <v>0.30809057244280058</v>
      </c>
      <c r="P83">
        <f t="shared" si="59"/>
        <v>0.5</v>
      </c>
      <c r="Q83" s="463">
        <f t="shared" si="79"/>
        <v>0.80809057244280058</v>
      </c>
      <c r="R83" s="9">
        <f t="shared" si="87"/>
        <v>2.3186050664498645</v>
      </c>
      <c r="S83" s="9">
        <f t="shared" si="80"/>
        <v>1.6127788362500943E-2</v>
      </c>
      <c r="T83" s="9">
        <f t="shared" si="88"/>
        <v>1.6127788362500943E-2</v>
      </c>
      <c r="U83" s="463">
        <f t="shared" si="60"/>
        <v>5.4491207529644337</v>
      </c>
      <c r="V83" s="465">
        <f t="shared" si="81"/>
        <v>0.29692916980387674</v>
      </c>
      <c r="W83" s="463">
        <f t="shared" si="89"/>
        <v>0.29692916980387674</v>
      </c>
      <c r="X83" s="463">
        <f t="shared" si="61"/>
        <v>5.4491207529644337</v>
      </c>
      <c r="Y83" s="463">
        <f t="shared" si="82"/>
        <v>5.3447250564697811E-2</v>
      </c>
      <c r="Z83" s="463">
        <f t="shared" si="62"/>
        <v>0.60330870735098718</v>
      </c>
      <c r="AA83" s="463">
        <f t="shared" si="63"/>
        <v>2.9999999999999992E-2</v>
      </c>
      <c r="AB83" s="463">
        <f t="shared" si="64"/>
        <v>0</v>
      </c>
      <c r="AC83" s="463">
        <f t="shared" si="65"/>
        <v>0.69417632106933957</v>
      </c>
      <c r="AD83" s="463">
        <f t="shared" si="66"/>
        <v>5.5175186881223439</v>
      </c>
      <c r="AE83" s="463">
        <f t="shared" si="83"/>
        <v>5.4797422452802759E-2</v>
      </c>
      <c r="AF83" s="463">
        <f t="shared" si="67"/>
        <v>0.17760000000000001</v>
      </c>
      <c r="AG83" s="463">
        <f t="shared" si="68"/>
        <v>0.23497260102949213</v>
      </c>
      <c r="AH83" s="463">
        <f t="shared" si="69"/>
        <v>0</v>
      </c>
      <c r="AI83">
        <f t="shared" si="70"/>
        <v>0</v>
      </c>
      <c r="AJ83" s="464">
        <f t="shared" si="71"/>
        <v>0.43176023999999996</v>
      </c>
      <c r="AK83">
        <f t="shared" si="84"/>
        <v>7.2000000000000008E-2</v>
      </c>
      <c r="AL83" s="464">
        <f t="shared" si="85"/>
        <v>0.98399999999999999</v>
      </c>
      <c r="AM83" s="464">
        <f t="shared" si="86"/>
        <v>0.82265384615384629</v>
      </c>
      <c r="AN83" s="464">
        <f t="shared" si="90"/>
        <v>1.056</v>
      </c>
      <c r="AO83" s="464">
        <f t="shared" si="72"/>
        <v>3.5380566927080102</v>
      </c>
      <c r="AP83" s="100">
        <f t="shared" si="73"/>
        <v>87.320000000000007</v>
      </c>
      <c r="AQ83" s="10">
        <f t="shared" si="91"/>
        <v>0.96105951611232332</v>
      </c>
      <c r="AR83" s="77">
        <f t="shared" si="74"/>
        <v>34.708816053466975</v>
      </c>
      <c r="AS83" s="77">
        <f t="shared" si="92"/>
        <v>11.748630051474606</v>
      </c>
      <c r="AT83" s="10"/>
      <c r="AU83">
        <f t="shared" si="93"/>
        <v>96.105951611232328</v>
      </c>
      <c r="BE83" s="31"/>
      <c r="BF83" s="32"/>
    </row>
    <row r="84" spans="1:58" x14ac:dyDescent="0.2">
      <c r="G84">
        <v>75</v>
      </c>
      <c r="H84">
        <f t="shared" si="55"/>
        <v>7.5</v>
      </c>
      <c r="I84" s="463">
        <f t="shared" si="75"/>
        <v>0.49379166666666668</v>
      </c>
      <c r="J84" s="464">
        <f t="shared" si="56"/>
        <v>8.0323444444444441</v>
      </c>
      <c r="K84" s="464">
        <f t="shared" si="76"/>
        <v>11.516172222222222</v>
      </c>
      <c r="L84" s="464">
        <f t="shared" si="77"/>
        <v>3.483827777777778</v>
      </c>
      <c r="M84" s="77">
        <f t="shared" si="57"/>
        <v>0</v>
      </c>
      <c r="N84" s="463">
        <f t="shared" si="58"/>
        <v>7.8502577307701475</v>
      </c>
      <c r="O84" s="463">
        <f t="shared" si="78"/>
        <v>0.31592036460580997</v>
      </c>
      <c r="P84">
        <f t="shared" si="59"/>
        <v>0.5</v>
      </c>
      <c r="Q84" s="463">
        <f t="shared" si="79"/>
        <v>0.81592036460580997</v>
      </c>
      <c r="R84" s="9">
        <f t="shared" si="87"/>
        <v>2.3187381136118974</v>
      </c>
      <c r="S84" s="9">
        <f t="shared" si="80"/>
        <v>1.6129639318549382E-2</v>
      </c>
      <c r="T84" s="9">
        <f t="shared" si="88"/>
        <v>1.6129639318549382E-2</v>
      </c>
      <c r="U84" s="463">
        <f t="shared" si="60"/>
        <v>5.5164005544629884</v>
      </c>
      <c r="V84" s="465">
        <f t="shared" si="81"/>
        <v>0.30430675077279568</v>
      </c>
      <c r="W84" s="463">
        <f t="shared" si="89"/>
        <v>0.30430675077279568</v>
      </c>
      <c r="X84" s="463">
        <f t="shared" si="61"/>
        <v>5.5164005544629884</v>
      </c>
      <c r="Y84" s="463">
        <f t="shared" si="82"/>
        <v>5.4775215139103217E-2</v>
      </c>
      <c r="Z84" s="463">
        <f t="shared" si="62"/>
        <v>0.61022303449112414</v>
      </c>
      <c r="AA84" s="463">
        <f t="shared" si="63"/>
        <v>2.9999999999999992E-2</v>
      </c>
      <c r="AB84" s="463">
        <f t="shared" si="64"/>
        <v>0</v>
      </c>
      <c r="AC84" s="463">
        <f t="shared" si="65"/>
        <v>0.70269631802973431</v>
      </c>
      <c r="AD84" s="463">
        <f t="shared" si="66"/>
        <v>5.5853264329166024</v>
      </c>
      <c r="AE84" s="463">
        <f t="shared" si="83"/>
        <v>5.6152568452026416E-2</v>
      </c>
      <c r="AF84" s="463">
        <f t="shared" si="67"/>
        <v>0.18</v>
      </c>
      <c r="AG84" s="463">
        <f t="shared" si="68"/>
        <v>0.23883480601067458</v>
      </c>
      <c r="AH84" s="463">
        <f t="shared" si="69"/>
        <v>0</v>
      </c>
      <c r="AI84">
        <f t="shared" si="70"/>
        <v>0</v>
      </c>
      <c r="AJ84" s="464">
        <f t="shared" si="71"/>
        <v>0.43175699999999995</v>
      </c>
      <c r="AK84">
        <f t="shared" si="84"/>
        <v>7.2000000000000008E-2</v>
      </c>
      <c r="AL84" s="464">
        <f t="shared" si="85"/>
        <v>0.98399999999999999</v>
      </c>
      <c r="AM84" s="464">
        <f t="shared" si="86"/>
        <v>0.82265384615384629</v>
      </c>
      <c r="AN84" s="464">
        <f t="shared" si="90"/>
        <v>1.056</v>
      </c>
      <c r="AO84" s="464">
        <f t="shared" si="72"/>
        <v>3.5656448787375639</v>
      </c>
      <c r="AP84" s="100">
        <f t="shared" si="73"/>
        <v>88.5</v>
      </c>
      <c r="AQ84" s="10">
        <f t="shared" si="91"/>
        <v>0.96127062506938421</v>
      </c>
      <c r="AR84" s="77">
        <f t="shared" si="74"/>
        <v>35.134815901486718</v>
      </c>
      <c r="AS84" s="77">
        <f t="shared" si="92"/>
        <v>11.941740300533729</v>
      </c>
      <c r="AT84" s="10"/>
      <c r="AU84">
        <f t="shared" si="93"/>
        <v>96.127062506938415</v>
      </c>
      <c r="BE84" s="31"/>
      <c r="BF84" s="32"/>
    </row>
    <row r="85" spans="1:58" x14ac:dyDescent="0.2">
      <c r="G85">
        <v>76</v>
      </c>
      <c r="H85">
        <f t="shared" si="55"/>
        <v>7.6</v>
      </c>
      <c r="I85" s="463">
        <f t="shared" si="75"/>
        <v>0.49382000000000009</v>
      </c>
      <c r="J85" s="464">
        <f t="shared" si="56"/>
        <v>8.032805333333334</v>
      </c>
      <c r="K85" s="464">
        <f t="shared" si="76"/>
        <v>11.616402666666666</v>
      </c>
      <c r="L85" s="464">
        <f t="shared" si="77"/>
        <v>3.5835973333333326</v>
      </c>
      <c r="M85" s="77">
        <f t="shared" si="57"/>
        <v>0</v>
      </c>
      <c r="N85" s="463">
        <f t="shared" si="58"/>
        <v>7.9458897211243142</v>
      </c>
      <c r="O85" s="463">
        <f t="shared" si="78"/>
        <v>0.32386498387164986</v>
      </c>
      <c r="P85">
        <f t="shared" si="59"/>
        <v>0.5</v>
      </c>
      <c r="Q85" s="463">
        <f t="shared" si="79"/>
        <v>0.82386498387164986</v>
      </c>
      <c r="R85" s="9">
        <f t="shared" si="87"/>
        <v>2.3188711607739312</v>
      </c>
      <c r="S85" s="9">
        <f t="shared" si="80"/>
        <v>1.6131490380807117E-2</v>
      </c>
      <c r="T85" s="9">
        <f t="shared" si="88"/>
        <v>1.6131490380807117E-2</v>
      </c>
      <c r="U85" s="463">
        <f t="shared" si="60"/>
        <v>5.5837616406818498</v>
      </c>
      <c r="V85" s="465">
        <f t="shared" si="81"/>
        <v>0.3117839405995006</v>
      </c>
      <c r="W85" s="463">
        <f t="shared" si="89"/>
        <v>0.3117839405995006</v>
      </c>
      <c r="X85" s="463">
        <f t="shared" si="61"/>
        <v>5.5837616406818498</v>
      </c>
      <c r="Y85" s="463">
        <f t="shared" si="82"/>
        <v>5.6121109307910109E-2</v>
      </c>
      <c r="Z85" s="463">
        <f t="shared" si="62"/>
        <v>0.61713736163126109</v>
      </c>
      <c r="AA85" s="463">
        <f t="shared" si="63"/>
        <v>2.9999999999999992E-2</v>
      </c>
      <c r="AB85" s="463">
        <f t="shared" si="64"/>
        <v>0</v>
      </c>
      <c r="AC85" s="463">
        <f t="shared" si="65"/>
        <v>0.71124160450532659</v>
      </c>
      <c r="AD85" s="463">
        <f t="shared" si="66"/>
        <v>5.6532087702754232</v>
      </c>
      <c r="AE85" s="463">
        <f t="shared" si="83"/>
        <v>5.7525784920574134E-2</v>
      </c>
      <c r="AF85" s="463">
        <f t="shared" si="67"/>
        <v>0.18240000000000001</v>
      </c>
      <c r="AG85" s="463">
        <f t="shared" si="68"/>
        <v>0.24271829703083087</v>
      </c>
      <c r="AH85" s="463">
        <f t="shared" si="69"/>
        <v>0</v>
      </c>
      <c r="AI85">
        <f t="shared" si="70"/>
        <v>0</v>
      </c>
      <c r="AJ85" s="464">
        <f t="shared" si="71"/>
        <v>0.43175375999999993</v>
      </c>
      <c r="AK85">
        <f t="shared" si="84"/>
        <v>7.2000000000000008E-2</v>
      </c>
      <c r="AL85" s="464">
        <f t="shared" si="85"/>
        <v>0.98399999999999999</v>
      </c>
      <c r="AM85" s="464">
        <f t="shared" si="86"/>
        <v>0.82265384615384629</v>
      </c>
      <c r="AN85" s="464">
        <f t="shared" si="90"/>
        <v>1.056</v>
      </c>
      <c r="AO85" s="464">
        <f t="shared" si="72"/>
        <v>3.5934940763881151</v>
      </c>
      <c r="AP85" s="100">
        <f t="shared" si="73"/>
        <v>89.68</v>
      </c>
      <c r="AQ85" s="10">
        <f t="shared" si="91"/>
        <v>0.9614735771188635</v>
      </c>
      <c r="AR85" s="77">
        <f t="shared" si="74"/>
        <v>35.562080225266328</v>
      </c>
      <c r="AS85" s="77">
        <f t="shared" si="92"/>
        <v>12.135914851541543</v>
      </c>
      <c r="AT85" s="10"/>
      <c r="AU85">
        <f t="shared" si="93"/>
        <v>96.147357711886343</v>
      </c>
      <c r="BE85" s="31"/>
      <c r="BF85" s="32"/>
    </row>
    <row r="86" spans="1:58" x14ac:dyDescent="0.2">
      <c r="G86">
        <v>77</v>
      </c>
      <c r="H86">
        <f t="shared" si="55"/>
        <v>7.7</v>
      </c>
      <c r="I86" s="463">
        <f t="shared" si="75"/>
        <v>0.49384833333333339</v>
      </c>
      <c r="J86" s="464">
        <f t="shared" si="56"/>
        <v>8.0332662222222222</v>
      </c>
      <c r="K86" s="464">
        <f t="shared" si="76"/>
        <v>11.716633111111111</v>
      </c>
      <c r="L86" s="464">
        <f t="shared" si="77"/>
        <v>3.6833668888888891</v>
      </c>
      <c r="M86" s="77">
        <f t="shared" si="57"/>
        <v>0</v>
      </c>
      <c r="N86" s="463">
        <f t="shared" si="58"/>
        <v>8.0416279767485328</v>
      </c>
      <c r="O86" s="463">
        <f t="shared" si="78"/>
        <v>0.33192483965359065</v>
      </c>
      <c r="P86">
        <f t="shared" si="59"/>
        <v>0.5</v>
      </c>
      <c r="Q86" s="463">
        <f t="shared" si="79"/>
        <v>0.83192483965359065</v>
      </c>
      <c r="R86" s="9">
        <f t="shared" si="87"/>
        <v>2.3190042079359641</v>
      </c>
      <c r="S86" s="9">
        <f t="shared" si="80"/>
        <v>1.6133341549274125E-2</v>
      </c>
      <c r="T86" s="9">
        <f t="shared" si="88"/>
        <v>1.6133341549274125E-2</v>
      </c>
      <c r="U86" s="463">
        <f t="shared" si="60"/>
        <v>5.6512012553440485</v>
      </c>
      <c r="V86" s="465">
        <f t="shared" si="81"/>
        <v>0.3193607562840215</v>
      </c>
      <c r="W86" s="463">
        <f t="shared" si="89"/>
        <v>0.3193607562840215</v>
      </c>
      <c r="X86" s="463">
        <f t="shared" si="61"/>
        <v>5.6512012553440485</v>
      </c>
      <c r="Y86" s="463">
        <f t="shared" si="82"/>
        <v>5.7484936131123869E-2</v>
      </c>
      <c r="Z86" s="463">
        <f t="shared" si="62"/>
        <v>0.62405168877139827</v>
      </c>
      <c r="AA86" s="463">
        <f t="shared" si="63"/>
        <v>2.9999999999999992E-2</v>
      </c>
      <c r="AB86" s="463">
        <f t="shared" si="64"/>
        <v>0</v>
      </c>
      <c r="AC86" s="463">
        <f t="shared" si="65"/>
        <v>0.71981229769439403</v>
      </c>
      <c r="AD86" s="463">
        <f t="shared" si="66"/>
        <v>5.7211628964767778</v>
      </c>
      <c r="AE86" s="463">
        <f t="shared" si="83"/>
        <v>5.8917068798440601E-2</v>
      </c>
      <c r="AF86" s="463">
        <f t="shared" si="67"/>
        <v>0.18480000000000002</v>
      </c>
      <c r="AG86" s="463">
        <f t="shared" si="68"/>
        <v>0.24662313119603335</v>
      </c>
      <c r="AH86" s="463">
        <f t="shared" si="69"/>
        <v>0</v>
      </c>
      <c r="AI86">
        <f t="shared" si="70"/>
        <v>0</v>
      </c>
      <c r="AJ86" s="464">
        <f t="shared" si="71"/>
        <v>0.43175051999999997</v>
      </c>
      <c r="AK86">
        <f t="shared" si="84"/>
        <v>7.2000000000000008E-2</v>
      </c>
      <c r="AL86" s="464">
        <f t="shared" si="85"/>
        <v>0.98399999999999999</v>
      </c>
      <c r="AM86" s="464">
        <f t="shared" si="86"/>
        <v>0.82265384615384629</v>
      </c>
      <c r="AN86" s="464">
        <f t="shared" si="90"/>
        <v>1.056</v>
      </c>
      <c r="AO86" s="464">
        <f t="shared" si="72"/>
        <v>3.6216048863773138</v>
      </c>
      <c r="AP86" s="100">
        <f t="shared" si="73"/>
        <v>90.860000000000014</v>
      </c>
      <c r="AQ86" s="10">
        <f t="shared" si="91"/>
        <v>0.96166867729720917</v>
      </c>
      <c r="AR86" s="77">
        <f t="shared" si="74"/>
        <v>35.990614884719704</v>
      </c>
      <c r="AS86" s="77">
        <f t="shared" si="92"/>
        <v>12.331156559801668</v>
      </c>
      <c r="AT86" s="10"/>
      <c r="AU86">
        <f t="shared" si="93"/>
        <v>96.16686772972092</v>
      </c>
      <c r="BE86" s="31"/>
      <c r="BF86" s="32"/>
    </row>
    <row r="87" spans="1:58" x14ac:dyDescent="0.2">
      <c r="G87">
        <v>78</v>
      </c>
      <c r="H87">
        <f t="shared" si="55"/>
        <v>7.8000000000000007</v>
      </c>
      <c r="I87" s="463">
        <f t="shared" si="75"/>
        <v>0.49387666666666669</v>
      </c>
      <c r="J87" s="464">
        <f t="shared" si="56"/>
        <v>8.0337271111111104</v>
      </c>
      <c r="K87" s="464">
        <f t="shared" si="76"/>
        <v>11.816863555555557</v>
      </c>
      <c r="L87" s="464">
        <f t="shared" si="77"/>
        <v>3.7831364444444455</v>
      </c>
      <c r="M87" s="77">
        <f t="shared" si="57"/>
        <v>0</v>
      </c>
      <c r="N87" s="463">
        <f t="shared" si="58"/>
        <v>8.1374687469742994</v>
      </c>
      <c r="O87" s="463">
        <f t="shared" si="78"/>
        <v>0.34010034806996153</v>
      </c>
      <c r="P87">
        <f t="shared" si="59"/>
        <v>0.5</v>
      </c>
      <c r="Q87" s="463">
        <f t="shared" si="79"/>
        <v>0.84010034806996159</v>
      </c>
      <c r="R87" s="9">
        <f t="shared" si="87"/>
        <v>2.3191372550979974</v>
      </c>
      <c r="S87" s="9">
        <f t="shared" si="80"/>
        <v>1.6135192823950421E-2</v>
      </c>
      <c r="T87" s="9">
        <f t="shared" si="88"/>
        <v>1.6135192823950421E-2</v>
      </c>
      <c r="U87" s="463">
        <f t="shared" si="60"/>
        <v>5.7187167688773375</v>
      </c>
      <c r="V87" s="465">
        <f t="shared" si="81"/>
        <v>0.32703721482638853</v>
      </c>
      <c r="W87" s="463">
        <f t="shared" si="89"/>
        <v>0.32703721482638853</v>
      </c>
      <c r="X87" s="463">
        <f t="shared" si="61"/>
        <v>5.7187167688773375</v>
      </c>
      <c r="Y87" s="463">
        <f t="shared" si="82"/>
        <v>5.8866698668749939E-2</v>
      </c>
      <c r="Z87" s="463">
        <f t="shared" si="62"/>
        <v>0.63096601591153534</v>
      </c>
      <c r="AA87" s="463">
        <f t="shared" si="63"/>
        <v>2.9999999999999992E-2</v>
      </c>
      <c r="AB87" s="463">
        <f t="shared" si="64"/>
        <v>0</v>
      </c>
      <c r="AC87" s="463">
        <f t="shared" si="65"/>
        <v>0.72840851549820207</v>
      </c>
      <c r="AD87" s="463">
        <f t="shared" si="66"/>
        <v>5.7891861366987172</v>
      </c>
      <c r="AE87" s="463">
        <f t="shared" si="83"/>
        <v>6.0326417025620319E-2</v>
      </c>
      <c r="AF87" s="463">
        <f t="shared" si="67"/>
        <v>0.18720000000000003</v>
      </c>
      <c r="AG87" s="463">
        <f t="shared" si="68"/>
        <v>0.25054936613501344</v>
      </c>
      <c r="AH87" s="463">
        <f t="shared" si="69"/>
        <v>0</v>
      </c>
      <c r="AI87">
        <f t="shared" si="70"/>
        <v>0</v>
      </c>
      <c r="AJ87" s="464">
        <f t="shared" si="71"/>
        <v>0.43174727999999996</v>
      </c>
      <c r="AK87">
        <f t="shared" si="84"/>
        <v>7.2000000000000008E-2</v>
      </c>
      <c r="AL87" s="464">
        <f t="shared" si="85"/>
        <v>0.98399999999999999</v>
      </c>
      <c r="AM87" s="464">
        <f t="shared" si="86"/>
        <v>0.82265384615384629</v>
      </c>
      <c r="AN87" s="464">
        <f t="shared" si="90"/>
        <v>1.056</v>
      </c>
      <c r="AO87" s="464">
        <f t="shared" si="72"/>
        <v>3.6499779173535156</v>
      </c>
      <c r="AP87" s="100">
        <f t="shared" si="73"/>
        <v>92.04000000000002</v>
      </c>
      <c r="AQ87" s="10">
        <f t="shared" si="91"/>
        <v>0.9618562152819603</v>
      </c>
      <c r="AR87" s="77">
        <f t="shared" si="74"/>
        <v>36.4204257749101</v>
      </c>
      <c r="AS87" s="77">
        <f t="shared" si="92"/>
        <v>12.527468306750672</v>
      </c>
      <c r="AT87" s="10"/>
      <c r="AU87">
        <f t="shared" si="93"/>
        <v>96.185621528196037</v>
      </c>
      <c r="BE87" s="31"/>
      <c r="BF87" s="32"/>
    </row>
    <row r="88" spans="1:58" x14ac:dyDescent="0.2">
      <c r="G88">
        <v>79</v>
      </c>
      <c r="H88">
        <f t="shared" si="55"/>
        <v>7.9</v>
      </c>
      <c r="I88" s="463">
        <f t="shared" si="75"/>
        <v>0.49390500000000004</v>
      </c>
      <c r="J88" s="464">
        <f t="shared" si="56"/>
        <v>8.0341880000000003</v>
      </c>
      <c r="K88" s="464">
        <f t="shared" si="76"/>
        <v>11.917094000000001</v>
      </c>
      <c r="L88" s="464">
        <f t="shared" si="77"/>
        <v>3.8829060000000002</v>
      </c>
      <c r="M88" s="77">
        <f t="shared" si="57"/>
        <v>0</v>
      </c>
      <c r="N88" s="463">
        <f t="shared" si="58"/>
        <v>8.2334084518469837</v>
      </c>
      <c r="O88" s="463">
        <f t="shared" si="78"/>
        <v>0.34839193199946583</v>
      </c>
      <c r="P88">
        <f t="shared" si="59"/>
        <v>0.5</v>
      </c>
      <c r="Q88" s="463">
        <f t="shared" si="79"/>
        <v>0.84839193199946583</v>
      </c>
      <c r="R88" s="9">
        <f t="shared" si="87"/>
        <v>2.3192703022600307</v>
      </c>
      <c r="S88" s="9">
        <f t="shared" si="80"/>
        <v>1.6137044204836005E-2</v>
      </c>
      <c r="T88" s="9">
        <f t="shared" si="88"/>
        <v>1.6137044204836005E-2</v>
      </c>
      <c r="U88" s="463">
        <f t="shared" si="60"/>
        <v>5.7863056713816272</v>
      </c>
      <c r="V88" s="465">
        <f t="shared" si="81"/>
        <v>0.33481333322663182</v>
      </c>
      <c r="W88" s="463">
        <f t="shared" si="89"/>
        <v>0.33481333322663182</v>
      </c>
      <c r="X88" s="463">
        <f t="shared" si="61"/>
        <v>5.7863056713816272</v>
      </c>
      <c r="Y88" s="463">
        <f t="shared" si="82"/>
        <v>6.0266399980793729E-2</v>
      </c>
      <c r="Z88" s="463">
        <f t="shared" si="62"/>
        <v>0.6378803430516724</v>
      </c>
      <c r="AA88" s="463">
        <f t="shared" si="63"/>
        <v>2.9999999999999992E-2</v>
      </c>
      <c r="AB88" s="463">
        <f t="shared" si="64"/>
        <v>0</v>
      </c>
      <c r="AC88" s="463">
        <f t="shared" si="65"/>
        <v>0.73703037652641334</v>
      </c>
      <c r="AD88" s="463">
        <f t="shared" si="66"/>
        <v>5.8572759378641335</v>
      </c>
      <c r="AE88" s="463">
        <f t="shared" si="83"/>
        <v>6.1753826542107891E-2</v>
      </c>
      <c r="AF88" s="463">
        <f t="shared" si="67"/>
        <v>0.18960000000000002</v>
      </c>
      <c r="AG88" s="463">
        <f t="shared" si="68"/>
        <v>0.25449706000187433</v>
      </c>
      <c r="AH88" s="463">
        <f t="shared" si="69"/>
        <v>0</v>
      </c>
      <c r="AI88">
        <f t="shared" si="70"/>
        <v>0</v>
      </c>
      <c r="AJ88" s="464">
        <f t="shared" si="71"/>
        <v>0.43174403999999994</v>
      </c>
      <c r="AK88">
        <f t="shared" si="84"/>
        <v>7.2000000000000008E-2</v>
      </c>
      <c r="AL88" s="464">
        <f t="shared" si="85"/>
        <v>0.98399999999999999</v>
      </c>
      <c r="AM88" s="464">
        <f t="shared" si="86"/>
        <v>0.82265384615384629</v>
      </c>
      <c r="AN88" s="464">
        <f t="shared" si="90"/>
        <v>1.056</v>
      </c>
      <c r="AO88" s="464">
        <f t="shared" si="72"/>
        <v>3.6786137859592212</v>
      </c>
      <c r="AP88" s="100">
        <f t="shared" si="73"/>
        <v>93.220000000000013</v>
      </c>
      <c r="AQ88" s="10">
        <f t="shared" si="91"/>
        <v>0.96203646634114959</v>
      </c>
      <c r="AR88" s="77">
        <f t="shared" si="74"/>
        <v>36.851518826320664</v>
      </c>
      <c r="AS88" s="77">
        <f t="shared" si="92"/>
        <v>12.724853000093717</v>
      </c>
      <c r="AT88" s="10"/>
      <c r="AU88">
        <f t="shared" si="93"/>
        <v>96.203646634114961</v>
      </c>
      <c r="BE88" s="31"/>
      <c r="BF88" s="32"/>
    </row>
    <row r="89" spans="1:58" x14ac:dyDescent="0.2">
      <c r="G89">
        <v>80</v>
      </c>
      <c r="H89">
        <f t="shared" si="55"/>
        <v>8</v>
      </c>
      <c r="I89" s="463">
        <f t="shared" si="75"/>
        <v>0.49393333333333334</v>
      </c>
      <c r="J89" s="464">
        <f t="shared" si="56"/>
        <v>8.0346488888888885</v>
      </c>
      <c r="K89" s="464">
        <f t="shared" si="76"/>
        <v>12.017324444444444</v>
      </c>
      <c r="L89" s="464">
        <f t="shared" si="77"/>
        <v>3.9826755555555557</v>
      </c>
      <c r="M89" s="77">
        <f t="shared" si="57"/>
        <v>0</v>
      </c>
      <c r="N89" s="463">
        <f t="shared" si="58"/>
        <v>8.3294436727377104</v>
      </c>
      <c r="O89" s="463">
        <f t="shared" si="78"/>
        <v>0.35680002113754145</v>
      </c>
      <c r="P89">
        <f t="shared" si="59"/>
        <v>0.5</v>
      </c>
      <c r="Q89" s="463">
        <f t="shared" si="79"/>
        <v>0.8568000211375415</v>
      </c>
      <c r="R89" s="9">
        <f t="shared" si="87"/>
        <v>2.3194033494220636</v>
      </c>
      <c r="S89" s="9">
        <f t="shared" si="80"/>
        <v>1.6138895691930864E-2</v>
      </c>
      <c r="T89" s="9">
        <f t="shared" si="88"/>
        <v>1.6138895691930864E-2</v>
      </c>
      <c r="U89" s="463">
        <f t="shared" si="60"/>
        <v>5.8539655660482088</v>
      </c>
      <c r="V89" s="465">
        <f t="shared" si="81"/>
        <v>0.34268912848478122</v>
      </c>
      <c r="W89" s="463">
        <f t="shared" si="89"/>
        <v>0.34268912848478122</v>
      </c>
      <c r="X89" s="463">
        <f t="shared" si="61"/>
        <v>5.8539655660482088</v>
      </c>
      <c r="Y89" s="463">
        <f t="shared" si="82"/>
        <v>6.168404312726062E-2</v>
      </c>
      <c r="Z89" s="463">
        <f t="shared" si="62"/>
        <v>0.64479467019180947</v>
      </c>
      <c r="AA89" s="463">
        <f t="shared" si="63"/>
        <v>2.9999999999999992E-2</v>
      </c>
      <c r="AB89" s="463">
        <f t="shared" si="64"/>
        <v>0</v>
      </c>
      <c r="AC89" s="463">
        <f t="shared" si="65"/>
        <v>0.74567800010254515</v>
      </c>
      <c r="AD89" s="463">
        <f t="shared" si="66"/>
        <v>5.9254298619452204</v>
      </c>
      <c r="AE89" s="463">
        <f t="shared" si="83"/>
        <v>6.3199294287897875E-2</v>
      </c>
      <c r="AF89" s="463">
        <f t="shared" si="67"/>
        <v>0.192</v>
      </c>
      <c r="AG89" s="463">
        <f t="shared" si="68"/>
        <v>0.25846627147883522</v>
      </c>
      <c r="AH89" s="463">
        <f t="shared" si="69"/>
        <v>0</v>
      </c>
      <c r="AI89">
        <f t="shared" si="70"/>
        <v>0</v>
      </c>
      <c r="AJ89" s="464">
        <f t="shared" si="71"/>
        <v>0.43174079999999998</v>
      </c>
      <c r="AK89">
        <f t="shared" si="84"/>
        <v>7.2000000000000008E-2</v>
      </c>
      <c r="AL89" s="464">
        <f t="shared" si="85"/>
        <v>0.98399999999999999</v>
      </c>
      <c r="AM89" s="464">
        <f t="shared" si="86"/>
        <v>0.82265384615384629</v>
      </c>
      <c r="AN89" s="464">
        <f t="shared" si="90"/>
        <v>1.056</v>
      </c>
      <c r="AO89" s="464">
        <f t="shared" si="72"/>
        <v>3.7075131168956341</v>
      </c>
      <c r="AP89" s="100">
        <f t="shared" si="73"/>
        <v>94.4</v>
      </c>
      <c r="AQ89" s="10">
        <f t="shared" si="91"/>
        <v>0.96220969221309161</v>
      </c>
      <c r="AR89" s="77">
        <f t="shared" si="74"/>
        <v>37.283900005127258</v>
      </c>
      <c r="AS89" s="77">
        <f t="shared" si="92"/>
        <v>12.92331357394176</v>
      </c>
      <c r="AT89" s="10"/>
      <c r="AU89">
        <f t="shared" si="93"/>
        <v>96.220969221309161</v>
      </c>
      <c r="BE89" s="31"/>
      <c r="BF89" s="32"/>
    </row>
    <row r="90" spans="1:58" x14ac:dyDescent="0.2">
      <c r="G90">
        <v>81</v>
      </c>
      <c r="H90">
        <f t="shared" si="55"/>
        <v>8.1000000000000014</v>
      </c>
      <c r="I90" s="463">
        <f t="shared" si="75"/>
        <v>0.49396166666666669</v>
      </c>
      <c r="J90" s="464">
        <f t="shared" si="56"/>
        <v>8.0351097777777785</v>
      </c>
      <c r="K90" s="464">
        <f t="shared" si="76"/>
        <v>12.11755488888889</v>
      </c>
      <c r="L90" s="464">
        <f t="shared" si="77"/>
        <v>4.0824451111111122</v>
      </c>
      <c r="M90" s="77">
        <f t="shared" si="57"/>
        <v>0</v>
      </c>
      <c r="N90" s="463">
        <f t="shared" si="58"/>
        <v>8.4255711435533183</v>
      </c>
      <c r="O90" s="463">
        <f t="shared" si="78"/>
        <v>0.36532505205378002</v>
      </c>
      <c r="P90">
        <f t="shared" si="59"/>
        <v>0.5</v>
      </c>
      <c r="Q90" s="463">
        <f t="shared" si="79"/>
        <v>0.86532505205378007</v>
      </c>
      <c r="R90" s="9">
        <f t="shared" si="87"/>
        <v>2.3195363965840974</v>
      </c>
      <c r="S90" s="9">
        <f t="shared" si="80"/>
        <v>1.6140747285235017E-2</v>
      </c>
      <c r="T90" s="9">
        <f t="shared" si="88"/>
        <v>1.6140747285235017E-2</v>
      </c>
      <c r="U90" s="463">
        <f t="shared" si="60"/>
        <v>5.9216941629981816</v>
      </c>
      <c r="V90" s="465">
        <f t="shared" si="81"/>
        <v>0.35066461760086731</v>
      </c>
      <c r="W90" s="463">
        <f t="shared" si="89"/>
        <v>0.35066461760086731</v>
      </c>
      <c r="X90" s="463">
        <f t="shared" si="61"/>
        <v>5.9216941629981816</v>
      </c>
      <c r="Y90" s="463">
        <f t="shared" si="82"/>
        <v>6.311963116815611E-2</v>
      </c>
      <c r="Z90" s="463">
        <f t="shared" si="62"/>
        <v>0.65170899733194632</v>
      </c>
      <c r="AA90" s="463">
        <f t="shared" si="63"/>
        <v>2.9999999999999992E-2</v>
      </c>
      <c r="AB90" s="463">
        <f t="shared" si="64"/>
        <v>0</v>
      </c>
      <c r="AC90" s="463">
        <f t="shared" si="65"/>
        <v>0.75435150626947689</v>
      </c>
      <c r="AD90" s="463">
        <f t="shared" si="66"/>
        <v>5.9936455796945181</v>
      </c>
      <c r="AE90" s="463">
        <f t="shared" si="83"/>
        <v>6.4662817202984946E-2</v>
      </c>
      <c r="AF90" s="463">
        <f t="shared" si="67"/>
        <v>0.19440000000000004</v>
      </c>
      <c r="AG90" s="463">
        <f t="shared" si="68"/>
        <v>0.26245705977900957</v>
      </c>
      <c r="AH90" s="463">
        <f t="shared" si="69"/>
        <v>0</v>
      </c>
      <c r="AI90">
        <f t="shared" si="70"/>
        <v>0</v>
      </c>
      <c r="AJ90" s="464">
        <f t="shared" si="71"/>
        <v>0.43173755999999996</v>
      </c>
      <c r="AK90">
        <f t="shared" si="84"/>
        <v>7.2000000000000008E-2</v>
      </c>
      <c r="AL90" s="464">
        <f t="shared" si="85"/>
        <v>0.98399999999999999</v>
      </c>
      <c r="AM90" s="464">
        <f t="shared" si="86"/>
        <v>0.82265384615384629</v>
      </c>
      <c r="AN90" s="464">
        <f t="shared" si="90"/>
        <v>1.056</v>
      </c>
      <c r="AO90" s="464">
        <f t="shared" si="72"/>
        <v>3.736676542988369</v>
      </c>
      <c r="AP90" s="100">
        <f t="shared" si="73"/>
        <v>95.580000000000027</v>
      </c>
      <c r="AQ90" s="10">
        <f t="shared" si="91"/>
        <v>0.9623761419224397</v>
      </c>
      <c r="AR90" s="77">
        <f t="shared" si="74"/>
        <v>37.717575313473844</v>
      </c>
      <c r="AS90" s="77">
        <f t="shared" si="92"/>
        <v>13.122852988950479</v>
      </c>
      <c r="AT90" s="10"/>
      <c r="AU90">
        <f t="shared" si="93"/>
        <v>96.237614192243967</v>
      </c>
      <c r="BE90" s="31"/>
      <c r="BF90" s="32"/>
    </row>
    <row r="91" spans="1:58" x14ac:dyDescent="0.2">
      <c r="G91">
        <v>82</v>
      </c>
      <c r="H91">
        <f t="shared" si="55"/>
        <v>8.1999999999999993</v>
      </c>
      <c r="I91" s="463">
        <f t="shared" si="75"/>
        <v>0.4939900000000001</v>
      </c>
      <c r="J91" s="464">
        <f t="shared" si="56"/>
        <v>8.0355706666666666</v>
      </c>
      <c r="K91" s="464">
        <f t="shared" si="76"/>
        <v>12.217785333333332</v>
      </c>
      <c r="L91" s="464">
        <f t="shared" si="77"/>
        <v>4.182214666666666</v>
      </c>
      <c r="M91" s="77">
        <f t="shared" si="57"/>
        <v>0</v>
      </c>
      <c r="N91" s="463">
        <f t="shared" si="58"/>
        <v>8.5217877425015391</v>
      </c>
      <c r="O91" s="463">
        <f t="shared" si="78"/>
        <v>0.37396746825041843</v>
      </c>
      <c r="P91">
        <f t="shared" si="59"/>
        <v>0.5</v>
      </c>
      <c r="Q91" s="463">
        <f t="shared" si="79"/>
        <v>0.87396746825041838</v>
      </c>
      <c r="R91" s="9">
        <f t="shared" si="87"/>
        <v>2.3196694437461303</v>
      </c>
      <c r="S91" s="9">
        <f t="shared" si="80"/>
        <v>1.6142598984748444E-2</v>
      </c>
      <c r="T91" s="9">
        <f t="shared" si="88"/>
        <v>1.6142598984748444E-2</v>
      </c>
      <c r="U91" s="463">
        <f t="shared" si="60"/>
        <v>5.9894892735100518</v>
      </c>
      <c r="V91" s="465">
        <f t="shared" si="81"/>
        <v>0.35873981757491968</v>
      </c>
      <c r="W91" s="463">
        <f t="shared" si="89"/>
        <v>0.35873981757491968</v>
      </c>
      <c r="X91" s="463">
        <f t="shared" si="61"/>
        <v>5.9894892735100518</v>
      </c>
      <c r="Y91" s="463">
        <f t="shared" si="82"/>
        <v>6.4573167163485545E-2</v>
      </c>
      <c r="Z91" s="463">
        <f t="shared" si="62"/>
        <v>0.65862332447208338</v>
      </c>
      <c r="AA91" s="463">
        <f t="shared" si="63"/>
        <v>2.9999999999999992E-2</v>
      </c>
      <c r="AB91" s="463">
        <f t="shared" si="64"/>
        <v>0</v>
      </c>
      <c r="AC91" s="463">
        <f t="shared" si="65"/>
        <v>0.76305101579500856</v>
      </c>
      <c r="AD91" s="463">
        <f t="shared" si="66"/>
        <v>6.0619208647719498</v>
      </c>
      <c r="AE91" s="463">
        <f t="shared" si="83"/>
        <v>6.6144392227363499E-2</v>
      </c>
      <c r="AF91" s="463">
        <f t="shared" si="67"/>
        <v>0.19679999999999997</v>
      </c>
      <c r="AG91" s="463">
        <f t="shared" si="68"/>
        <v>0.26646948464921572</v>
      </c>
      <c r="AH91" s="463">
        <f t="shared" si="69"/>
        <v>0</v>
      </c>
      <c r="AI91">
        <f t="shared" si="70"/>
        <v>0</v>
      </c>
      <c r="AJ91" s="464">
        <f t="shared" si="71"/>
        <v>0.43173432</v>
      </c>
      <c r="AK91">
        <f t="shared" si="84"/>
        <v>7.2000000000000008E-2</v>
      </c>
      <c r="AL91" s="464">
        <f t="shared" si="85"/>
        <v>0.98399999999999999</v>
      </c>
      <c r="AM91" s="464">
        <f t="shared" si="86"/>
        <v>0.82265384615384629</v>
      </c>
      <c r="AN91" s="464">
        <f t="shared" si="90"/>
        <v>1.056</v>
      </c>
      <c r="AO91" s="464">
        <f t="shared" si="72"/>
        <v>3.7661047052543108</v>
      </c>
      <c r="AP91" s="100">
        <f t="shared" si="73"/>
        <v>96.759999999999991</v>
      </c>
      <c r="AQ91" s="10">
        <f t="shared" si="91"/>
        <v>0.96253605253782937</v>
      </c>
      <c r="AR91" s="77">
        <f t="shared" si="74"/>
        <v>38.152550789750428</v>
      </c>
      <c r="AS91" s="77">
        <f t="shared" si="92"/>
        <v>13.323474232460786</v>
      </c>
      <c r="AT91" s="10"/>
      <c r="AU91">
        <f t="shared" si="93"/>
        <v>96.253605253782936</v>
      </c>
      <c r="BE91" s="31"/>
      <c r="BF91" s="32"/>
    </row>
    <row r="92" spans="1:58" x14ac:dyDescent="0.2">
      <c r="G92">
        <v>83</v>
      </c>
      <c r="H92">
        <f t="shared" si="55"/>
        <v>8.2999999999999989</v>
      </c>
      <c r="I92" s="463">
        <f t="shared" si="75"/>
        <v>0.49401833333333328</v>
      </c>
      <c r="J92" s="464">
        <f t="shared" si="56"/>
        <v>8.0360315555555548</v>
      </c>
      <c r="K92" s="464">
        <f t="shared" si="76"/>
        <v>12.318015777777777</v>
      </c>
      <c r="L92" s="464">
        <f t="shared" si="77"/>
        <v>4.2819842222222215</v>
      </c>
      <c r="M92" s="77">
        <f t="shared" si="57"/>
        <v>0</v>
      </c>
      <c r="N92" s="463">
        <f t="shared" si="58"/>
        <v>8.6180904843720274</v>
      </c>
      <c r="O92" s="463">
        <f t="shared" si="78"/>
        <v>0.38272772022192331</v>
      </c>
      <c r="P92">
        <f t="shared" si="59"/>
        <v>0.5</v>
      </c>
      <c r="Q92" s="463">
        <f t="shared" si="79"/>
        <v>0.88272772022192325</v>
      </c>
      <c r="R92" s="9">
        <f t="shared" si="87"/>
        <v>2.3198024909081636</v>
      </c>
      <c r="S92" s="9">
        <f t="shared" si="80"/>
        <v>1.6144450790471162E-2</v>
      </c>
      <c r="T92" s="9">
        <f t="shared" si="88"/>
        <v>1.6144450790471162E-2</v>
      </c>
      <c r="U92" s="463">
        <f t="shared" si="60"/>
        <v>6.0573488046088979</v>
      </c>
      <c r="V92" s="465">
        <f t="shared" si="81"/>
        <v>0.36691474540696845</v>
      </c>
      <c r="W92" s="463">
        <f t="shared" si="89"/>
        <v>0.36691474540696845</v>
      </c>
      <c r="X92" s="463">
        <f t="shared" si="61"/>
        <v>6.0573488046088979</v>
      </c>
      <c r="Y92" s="463">
        <f t="shared" si="82"/>
        <v>6.6044654173254322E-2</v>
      </c>
      <c r="Z92" s="463">
        <f t="shared" si="62"/>
        <v>0.66553765161222045</v>
      </c>
      <c r="AA92" s="463">
        <f t="shared" si="63"/>
        <v>2.9999999999999992E-2</v>
      </c>
      <c r="AB92" s="463">
        <f t="shared" si="64"/>
        <v>0</v>
      </c>
      <c r="AC92" s="463">
        <f t="shared" si="65"/>
        <v>0.77177665017746755</v>
      </c>
      <c r="AD92" s="463">
        <f t="shared" si="66"/>
        <v>6.1302535882397917</v>
      </c>
      <c r="AE92" s="463">
        <f t="shared" si="83"/>
        <v>6.7644016301028315E-2</v>
      </c>
      <c r="AF92" s="463">
        <f t="shared" si="67"/>
        <v>0.19919999999999999</v>
      </c>
      <c r="AG92" s="463">
        <f t="shared" si="68"/>
        <v>0.27050360637282228</v>
      </c>
      <c r="AH92" s="463">
        <f t="shared" si="69"/>
        <v>0</v>
      </c>
      <c r="AI92">
        <f t="shared" si="70"/>
        <v>0</v>
      </c>
      <c r="AJ92" s="464">
        <f t="shared" si="71"/>
        <v>0.43173107999999999</v>
      </c>
      <c r="AK92">
        <f t="shared" si="84"/>
        <v>7.2000000000000008E-2</v>
      </c>
      <c r="AL92" s="464">
        <f t="shared" si="85"/>
        <v>0.98399999999999999</v>
      </c>
      <c r="AM92" s="464">
        <f t="shared" si="86"/>
        <v>0.82265384615384629</v>
      </c>
      <c r="AN92" s="464">
        <f t="shared" si="90"/>
        <v>1.056</v>
      </c>
      <c r="AO92" s="464">
        <f t="shared" si="72"/>
        <v>3.7957982529696528</v>
      </c>
      <c r="AP92" s="100">
        <f t="shared" si="73"/>
        <v>97.94</v>
      </c>
      <c r="AQ92" s="10">
        <f t="shared" si="91"/>
        <v>0.96268964987593397</v>
      </c>
      <c r="AR92" s="77">
        <f t="shared" si="74"/>
        <v>38.588832508873381</v>
      </c>
      <c r="AS92" s="77">
        <f t="shared" si="92"/>
        <v>13.525180318641114</v>
      </c>
      <c r="AT92" s="10"/>
      <c r="AU92">
        <f t="shared" si="93"/>
        <v>96.268964987593392</v>
      </c>
      <c r="BE92" s="31"/>
      <c r="BF92" s="32"/>
    </row>
    <row r="93" spans="1:58" x14ac:dyDescent="0.2">
      <c r="G93">
        <v>84</v>
      </c>
      <c r="H93">
        <f t="shared" si="55"/>
        <v>8.4</v>
      </c>
      <c r="I93" s="463">
        <f t="shared" si="75"/>
        <v>0.49404666666666669</v>
      </c>
      <c r="J93" s="464">
        <f t="shared" si="56"/>
        <v>8.0364924444444448</v>
      </c>
      <c r="K93" s="464">
        <f t="shared" si="76"/>
        <v>12.418246222222223</v>
      </c>
      <c r="L93" s="464">
        <f t="shared" si="77"/>
        <v>4.381753777777778</v>
      </c>
      <c r="M93" s="77">
        <f t="shared" si="57"/>
        <v>0</v>
      </c>
      <c r="N93" s="463">
        <f t="shared" si="58"/>
        <v>8.7144765132967716</v>
      </c>
      <c r="O93" s="463">
        <f t="shared" si="78"/>
        <v>0.39160626551567623</v>
      </c>
      <c r="P93">
        <f t="shared" si="59"/>
        <v>0.5</v>
      </c>
      <c r="Q93" s="463">
        <f t="shared" si="79"/>
        <v>0.89160626551567623</v>
      </c>
      <c r="R93" s="9">
        <f t="shared" si="87"/>
        <v>2.3199355380701969</v>
      </c>
      <c r="S93" s="9">
        <f t="shared" si="80"/>
        <v>1.6146302702403165E-2</v>
      </c>
      <c r="T93" s="9">
        <f t="shared" si="88"/>
        <v>1.6146302702403165E-2</v>
      </c>
      <c r="U93" s="463">
        <f t="shared" si="60"/>
        <v>6.1252707539915683</v>
      </c>
      <c r="V93" s="465">
        <f t="shared" si="81"/>
        <v>0.37518941809704437</v>
      </c>
      <c r="W93" s="463">
        <f t="shared" si="89"/>
        <v>0.37518941809704437</v>
      </c>
      <c r="X93" s="463">
        <f t="shared" si="61"/>
        <v>6.1252707539915683</v>
      </c>
      <c r="Y93" s="463">
        <f t="shared" si="82"/>
        <v>6.753409525746798E-2</v>
      </c>
      <c r="Z93" s="463">
        <f t="shared" si="62"/>
        <v>0.67245197875235752</v>
      </c>
      <c r="AA93" s="463">
        <f t="shared" si="63"/>
        <v>2.9999999999999992E-2</v>
      </c>
      <c r="AB93" s="463">
        <f t="shared" si="64"/>
        <v>0</v>
      </c>
      <c r="AC93" s="463">
        <f t="shared" si="65"/>
        <v>0.7805285316513686</v>
      </c>
      <c r="AD93" s="463">
        <f t="shared" si="66"/>
        <v>6.1986417133995273</v>
      </c>
      <c r="AE93" s="463">
        <f t="shared" si="83"/>
        <v>6.9161686363973934E-2</v>
      </c>
      <c r="AF93" s="463">
        <f t="shared" si="67"/>
        <v>0.2016</v>
      </c>
      <c r="AG93" s="463">
        <f t="shared" si="68"/>
        <v>0.27455948577262596</v>
      </c>
      <c r="AH93" s="463">
        <f t="shared" si="69"/>
        <v>0</v>
      </c>
      <c r="AI93">
        <f t="shared" si="70"/>
        <v>0</v>
      </c>
      <c r="AJ93" s="464">
        <f t="shared" si="71"/>
        <v>0.43172783999999997</v>
      </c>
      <c r="AK93">
        <f t="shared" si="84"/>
        <v>7.2000000000000008E-2</v>
      </c>
      <c r="AL93" s="464">
        <f t="shared" si="85"/>
        <v>0.98399999999999999</v>
      </c>
      <c r="AM93" s="464">
        <f t="shared" si="86"/>
        <v>0.82265384615384629</v>
      </c>
      <c r="AN93" s="464">
        <f t="shared" si="90"/>
        <v>1.056</v>
      </c>
      <c r="AO93" s="464">
        <f t="shared" si="72"/>
        <v>3.8257578437391184</v>
      </c>
      <c r="AP93" s="100">
        <f t="shared" si="73"/>
        <v>99.12</v>
      </c>
      <c r="AQ93" s="10">
        <f t="shared" si="91"/>
        <v>0.96283714915629437</v>
      </c>
      <c r="AR93" s="77">
        <f t="shared" si="74"/>
        <v>39.026426582568433</v>
      </c>
      <c r="AS93" s="77">
        <f t="shared" si="92"/>
        <v>13.727974288631298</v>
      </c>
      <c r="AT93" s="10"/>
      <c r="AU93">
        <f t="shared" si="93"/>
        <v>96.283714915629432</v>
      </c>
      <c r="BE93" s="31"/>
      <c r="BF93" s="32"/>
    </row>
    <row r="94" spans="1:58" x14ac:dyDescent="0.2">
      <c r="G94">
        <v>85</v>
      </c>
      <c r="H94">
        <f t="shared" si="55"/>
        <v>8.5</v>
      </c>
      <c r="I94" s="463">
        <f t="shared" si="75"/>
        <v>0.49407500000000004</v>
      </c>
      <c r="J94" s="464">
        <f t="shared" si="56"/>
        <v>8.0369533333333347</v>
      </c>
      <c r="K94" s="464">
        <f t="shared" si="76"/>
        <v>12.518476666666668</v>
      </c>
      <c r="L94" s="464">
        <f t="shared" si="77"/>
        <v>4.4815233333333326</v>
      </c>
      <c r="M94" s="77">
        <f t="shared" si="57"/>
        <v>0</v>
      </c>
      <c r="N94" s="463">
        <f t="shared" si="58"/>
        <v>8.8109430959563859</v>
      </c>
      <c r="O94" s="463">
        <f t="shared" si="78"/>
        <v>0.40060356879377901</v>
      </c>
      <c r="P94">
        <f t="shared" si="59"/>
        <v>0.5</v>
      </c>
      <c r="Q94" s="463">
        <f t="shared" si="79"/>
        <v>0.90060356879377901</v>
      </c>
      <c r="R94" s="9">
        <f t="shared" si="87"/>
        <v>2.3200685852322307</v>
      </c>
      <c r="S94" s="9">
        <f t="shared" si="80"/>
        <v>1.6148154720544452E-2</v>
      </c>
      <c r="T94" s="9">
        <f t="shared" si="88"/>
        <v>1.6148154720544452E-2</v>
      </c>
      <c r="U94" s="463">
        <f t="shared" si="60"/>
        <v>6.1932532052643934</v>
      </c>
      <c r="V94" s="465">
        <f t="shared" si="81"/>
        <v>0.38356385264517684</v>
      </c>
      <c r="W94" s="463">
        <f t="shared" si="89"/>
        <v>0.38356385264517684</v>
      </c>
      <c r="X94" s="463">
        <f t="shared" si="61"/>
        <v>6.1932532052643934</v>
      </c>
      <c r="Y94" s="463">
        <f t="shared" si="82"/>
        <v>6.9041493476131824E-2</v>
      </c>
      <c r="Z94" s="463">
        <f t="shared" si="62"/>
        <v>0.67936630589249458</v>
      </c>
      <c r="AA94" s="463">
        <f t="shared" si="63"/>
        <v>2.9999999999999992E-2</v>
      </c>
      <c r="AB94" s="463">
        <f t="shared" si="64"/>
        <v>0</v>
      </c>
      <c r="AC94" s="463">
        <f t="shared" si="65"/>
        <v>0.78930678319312542</v>
      </c>
      <c r="AD94" s="463">
        <f t="shared" si="66"/>
        <v>6.2670832909467409</v>
      </c>
      <c r="AE94" s="463">
        <f t="shared" si="83"/>
        <v>7.0697399356194901E-2</v>
      </c>
      <c r="AF94" s="463">
        <f t="shared" si="67"/>
        <v>0.20400000000000001</v>
      </c>
      <c r="AG94" s="463">
        <f t="shared" si="68"/>
        <v>0.27863718421376416</v>
      </c>
      <c r="AH94" s="463">
        <f t="shared" si="69"/>
        <v>0</v>
      </c>
      <c r="AI94">
        <f t="shared" si="70"/>
        <v>0</v>
      </c>
      <c r="AJ94" s="464">
        <f t="shared" si="71"/>
        <v>0.43172459999999996</v>
      </c>
      <c r="AK94">
        <f t="shared" si="84"/>
        <v>7.2000000000000008E-2</v>
      </c>
      <c r="AL94" s="464">
        <f t="shared" si="85"/>
        <v>0.98399999999999999</v>
      </c>
      <c r="AM94" s="464">
        <f t="shared" si="86"/>
        <v>0.82265384615384629</v>
      </c>
      <c r="AN94" s="464">
        <f t="shared" si="90"/>
        <v>1.056</v>
      </c>
      <c r="AO94" s="464">
        <f t="shared" si="72"/>
        <v>3.8559841435663897</v>
      </c>
      <c r="AP94" s="100">
        <f t="shared" si="73"/>
        <v>100.30000000000001</v>
      </c>
      <c r="AQ94" s="10">
        <f t="shared" si="91"/>
        <v>0.96297875561089818</v>
      </c>
      <c r="AR94" s="77">
        <f t="shared" si="74"/>
        <v>39.465339159656274</v>
      </c>
      <c r="AS94" s="77">
        <f t="shared" si="92"/>
        <v>13.931859210688208</v>
      </c>
      <c r="AT94" s="10"/>
      <c r="AU94">
        <f t="shared" si="93"/>
        <v>96.297875561089825</v>
      </c>
      <c r="BE94" s="31"/>
      <c r="BF94" s="32"/>
    </row>
    <row r="95" spans="1:58" x14ac:dyDescent="0.2">
      <c r="G95">
        <v>86</v>
      </c>
      <c r="H95">
        <f t="shared" si="55"/>
        <v>8.6</v>
      </c>
      <c r="I95" s="463">
        <f t="shared" si="75"/>
        <v>0.49410333333333334</v>
      </c>
      <c r="J95" s="464">
        <f t="shared" si="56"/>
        <v>8.0374142222222229</v>
      </c>
      <c r="K95" s="464">
        <f t="shared" si="76"/>
        <v>12.61870711111111</v>
      </c>
      <c r="L95" s="464">
        <f t="shared" si="77"/>
        <v>4.5812928888888882</v>
      </c>
      <c r="M95" s="77">
        <f t="shared" si="57"/>
        <v>0</v>
      </c>
      <c r="N95" s="463">
        <f t="shared" si="58"/>
        <v>8.907487615201326</v>
      </c>
      <c r="O95" s="463">
        <f t="shared" si="78"/>
        <v>0.40972010189599778</v>
      </c>
      <c r="P95">
        <f t="shared" si="59"/>
        <v>0.5</v>
      </c>
      <c r="Q95" s="463">
        <f t="shared" si="79"/>
        <v>0.90972010189599772</v>
      </c>
      <c r="R95" s="9">
        <f t="shared" si="87"/>
        <v>2.3202016323942636</v>
      </c>
      <c r="S95" s="9">
        <f t="shared" si="80"/>
        <v>1.6150006844895017E-2</v>
      </c>
      <c r="T95" s="9">
        <f t="shared" si="88"/>
        <v>1.6150006844895017E-2</v>
      </c>
      <c r="U95" s="463">
        <f t="shared" si="60"/>
        <v>6.2612943234717529</v>
      </c>
      <c r="V95" s="465">
        <f t="shared" si="81"/>
        <v>0.39203806605139596</v>
      </c>
      <c r="W95" s="463">
        <f t="shared" si="89"/>
        <v>0.39203806605139596</v>
      </c>
      <c r="X95" s="463">
        <f t="shared" si="61"/>
        <v>6.2612943234717529</v>
      </c>
      <c r="Y95" s="463">
        <f t="shared" si="82"/>
        <v>7.056685188925127E-2</v>
      </c>
      <c r="Z95" s="463">
        <f t="shared" si="62"/>
        <v>0.68628063303263154</v>
      </c>
      <c r="AA95" s="463">
        <f t="shared" si="63"/>
        <v>2.9999999999999992E-2</v>
      </c>
      <c r="AB95" s="463">
        <f t="shared" si="64"/>
        <v>0</v>
      </c>
      <c r="AC95" s="463">
        <f t="shared" si="65"/>
        <v>0.79811152852681388</v>
      </c>
      <c r="AD95" s="463">
        <f t="shared" si="66"/>
        <v>6.3355764544219184</v>
      </c>
      <c r="AE95" s="463">
        <f t="shared" si="83"/>
        <v>7.225115221768573E-2</v>
      </c>
      <c r="AF95" s="463">
        <f t="shared" si="67"/>
        <v>0.2064</v>
      </c>
      <c r="AG95" s="463">
        <f t="shared" si="68"/>
        <v>0.28273676360666183</v>
      </c>
      <c r="AH95" s="463">
        <f t="shared" si="69"/>
        <v>0</v>
      </c>
      <c r="AI95">
        <f t="shared" si="70"/>
        <v>0</v>
      </c>
      <c r="AJ95" s="464">
        <f t="shared" si="71"/>
        <v>0.43172135999999994</v>
      </c>
      <c r="AK95">
        <f t="shared" si="84"/>
        <v>7.2000000000000008E-2</v>
      </c>
      <c r="AL95" s="464">
        <f t="shared" si="85"/>
        <v>0.98399999999999999</v>
      </c>
      <c r="AM95" s="464">
        <f t="shared" si="86"/>
        <v>0.82265384615384629</v>
      </c>
      <c r="AN95" s="464">
        <f t="shared" si="90"/>
        <v>1.056</v>
      </c>
      <c r="AO95" s="464">
        <f t="shared" si="72"/>
        <v>3.8864778269257645</v>
      </c>
      <c r="AP95" s="100">
        <f t="shared" si="73"/>
        <v>101.48</v>
      </c>
      <c r="AQ95" s="10">
        <f t="shared" si="91"/>
        <v>0.96311466505210819</v>
      </c>
      <c r="AR95" s="77">
        <f t="shared" si="74"/>
        <v>39.905576426340694</v>
      </c>
      <c r="AS95" s="77">
        <f t="shared" si="92"/>
        <v>14.136838180333092</v>
      </c>
      <c r="AT95" s="10"/>
      <c r="AU95">
        <f t="shared" si="93"/>
        <v>96.311466505210817</v>
      </c>
      <c r="BE95" s="31"/>
      <c r="BF95" s="32"/>
    </row>
    <row r="96" spans="1:58" x14ac:dyDescent="0.2">
      <c r="G96">
        <v>87</v>
      </c>
      <c r="H96">
        <f t="shared" si="55"/>
        <v>8.6999999999999993</v>
      </c>
      <c r="I96" s="463">
        <f t="shared" si="75"/>
        <v>0.49413166666666669</v>
      </c>
      <c r="J96" s="464">
        <f t="shared" si="56"/>
        <v>8.0378751111111111</v>
      </c>
      <c r="K96" s="464">
        <f t="shared" si="76"/>
        <v>12.718937555555556</v>
      </c>
      <c r="L96" s="464">
        <f t="shared" si="77"/>
        <v>4.6810624444444437</v>
      </c>
      <c r="M96" s="77">
        <f t="shared" si="57"/>
        <v>0</v>
      </c>
      <c r="N96" s="463">
        <f t="shared" si="58"/>
        <v>9.0041075640593942</v>
      </c>
      <c r="O96" s="463">
        <f t="shared" si="78"/>
        <v>0.41895634390385827</v>
      </c>
      <c r="P96">
        <f t="shared" si="59"/>
        <v>0.5</v>
      </c>
      <c r="Q96" s="463">
        <f t="shared" si="79"/>
        <v>0.91895634390385827</v>
      </c>
      <c r="R96" s="9">
        <f t="shared" si="87"/>
        <v>2.3203346795562965</v>
      </c>
      <c r="S96" s="9">
        <f t="shared" si="80"/>
        <v>1.6151859075454866E-2</v>
      </c>
      <c r="T96" s="9">
        <f t="shared" si="88"/>
        <v>1.6151859075454866E-2</v>
      </c>
      <c r="U96" s="463">
        <f t="shared" si="60"/>
        <v>6.3293923508954011</v>
      </c>
      <c r="V96" s="465">
        <f t="shared" si="81"/>
        <v>0.40061207531573212</v>
      </c>
      <c r="W96" s="463">
        <f t="shared" si="89"/>
        <v>0.40061207531573212</v>
      </c>
      <c r="X96" s="463">
        <f t="shared" si="61"/>
        <v>6.3293923508954011</v>
      </c>
      <c r="Y96" s="463">
        <f t="shared" si="82"/>
        <v>7.2110173556831775E-2</v>
      </c>
      <c r="Z96" s="463">
        <f t="shared" si="62"/>
        <v>0.6931949601727686</v>
      </c>
      <c r="AA96" s="463">
        <f t="shared" si="63"/>
        <v>2.9999999999999992E-2</v>
      </c>
      <c r="AB96" s="463">
        <f t="shared" si="64"/>
        <v>0</v>
      </c>
      <c r="AC96" s="463">
        <f t="shared" si="65"/>
        <v>0.80694289212998949</v>
      </c>
      <c r="AD96" s="463">
        <f t="shared" si="66"/>
        <v>6.4041194159367771</v>
      </c>
      <c r="AE96" s="463">
        <f t="shared" si="83"/>
        <v>7.3822941888441129E-2</v>
      </c>
      <c r="AF96" s="463">
        <f t="shared" si="67"/>
        <v>0.20879999999999999</v>
      </c>
      <c r="AG96" s="463">
        <f t="shared" si="68"/>
        <v>0.28685828641001399</v>
      </c>
      <c r="AH96" s="463">
        <f t="shared" si="69"/>
        <v>0</v>
      </c>
      <c r="AI96">
        <f t="shared" si="70"/>
        <v>0</v>
      </c>
      <c r="AJ96" s="464">
        <f t="shared" si="71"/>
        <v>0.43171811999999998</v>
      </c>
      <c r="AK96">
        <f t="shared" si="84"/>
        <v>7.2000000000000008E-2</v>
      </c>
      <c r="AL96" s="464">
        <f t="shared" si="85"/>
        <v>0.98399999999999999</v>
      </c>
      <c r="AM96" s="464">
        <f t="shared" si="86"/>
        <v>0.82265384615384629</v>
      </c>
      <c r="AN96" s="464">
        <f t="shared" si="90"/>
        <v>1.056</v>
      </c>
      <c r="AO96" s="464">
        <f t="shared" si="72"/>
        <v>3.917239576835049</v>
      </c>
      <c r="AP96" s="100">
        <f t="shared" si="73"/>
        <v>102.66</v>
      </c>
      <c r="AQ96" s="10">
        <f t="shared" si="91"/>
        <v>0.96324506440222657</v>
      </c>
      <c r="AR96" s="77">
        <f t="shared" si="74"/>
        <v>40.347144606499477</v>
      </c>
      <c r="AS96" s="77">
        <f t="shared" si="92"/>
        <v>14.3429143205007</v>
      </c>
      <c r="AT96" s="10"/>
      <c r="AU96">
        <f t="shared" si="93"/>
        <v>96.324506440222663</v>
      </c>
      <c r="BE96" s="31"/>
      <c r="BF96" s="32"/>
    </row>
    <row r="97" spans="7:58" x14ac:dyDescent="0.2">
      <c r="G97">
        <v>88</v>
      </c>
      <c r="H97">
        <f t="shared" si="55"/>
        <v>8.8000000000000007</v>
      </c>
      <c r="I97" s="463">
        <f t="shared" si="75"/>
        <v>0.4941600000000001</v>
      </c>
      <c r="J97" s="464">
        <f t="shared" si="56"/>
        <v>8.038336000000001</v>
      </c>
      <c r="K97" s="464">
        <f t="shared" si="76"/>
        <v>12.819168000000001</v>
      </c>
      <c r="L97" s="464">
        <f t="shared" si="77"/>
        <v>4.7808320000000002</v>
      </c>
      <c r="M97" s="77">
        <f t="shared" si="57"/>
        <v>0</v>
      </c>
      <c r="N97" s="463">
        <f t="shared" si="58"/>
        <v>9.1008005401031262</v>
      </c>
      <c r="O97" s="463">
        <f t="shared" si="78"/>
        <v>0.42831278120591004</v>
      </c>
      <c r="P97">
        <f t="shared" si="59"/>
        <v>0.5</v>
      </c>
      <c r="Q97" s="463">
        <f t="shared" si="79"/>
        <v>0.92831278120590999</v>
      </c>
      <c r="R97" s="9">
        <f t="shared" si="87"/>
        <v>2.3204677267183302</v>
      </c>
      <c r="S97" s="9">
        <f t="shared" si="80"/>
        <v>1.6153711412224006E-2</v>
      </c>
      <c r="T97" s="9">
        <f t="shared" si="88"/>
        <v>1.6153711412224006E-2</v>
      </c>
      <c r="U97" s="463">
        <f t="shared" si="60"/>
        <v>6.3975456031060496</v>
      </c>
      <c r="V97" s="465">
        <f t="shared" si="81"/>
        <v>0.40928589743821547</v>
      </c>
      <c r="W97" s="463">
        <f t="shared" si="89"/>
        <v>0.40928589743821547</v>
      </c>
      <c r="X97" s="463">
        <f t="shared" si="61"/>
        <v>6.3975456031060496</v>
      </c>
      <c r="Y97" s="463">
        <f t="shared" si="82"/>
        <v>7.3671461538878782E-2</v>
      </c>
      <c r="Z97" s="463">
        <f t="shared" si="62"/>
        <v>0.70010928731290556</v>
      </c>
      <c r="AA97" s="463">
        <f t="shared" si="63"/>
        <v>2.9999999999999992E-2</v>
      </c>
      <c r="AB97" s="463">
        <f t="shared" si="64"/>
        <v>0</v>
      </c>
      <c r="AC97" s="463">
        <f t="shared" si="65"/>
        <v>0.81580099923955562</v>
      </c>
      <c r="AD97" s="463">
        <f t="shared" si="66"/>
        <v>6.4727104621572407</v>
      </c>
      <c r="AE97" s="463">
        <f t="shared" si="83"/>
        <v>7.5412765308455643E-2</v>
      </c>
      <c r="AF97" s="463">
        <f t="shared" si="67"/>
        <v>0.21120000000000003</v>
      </c>
      <c r="AG97" s="463">
        <f t="shared" si="68"/>
        <v>0.29100181563380095</v>
      </c>
      <c r="AH97" s="463">
        <f t="shared" si="69"/>
        <v>0</v>
      </c>
      <c r="AI97">
        <f t="shared" si="70"/>
        <v>0</v>
      </c>
      <c r="AJ97" s="464">
        <f t="shared" si="71"/>
        <v>0.43171487999999997</v>
      </c>
      <c r="AK97">
        <f t="shared" si="84"/>
        <v>7.2000000000000008E-2</v>
      </c>
      <c r="AL97" s="464">
        <f t="shared" si="85"/>
        <v>0.98399999999999999</v>
      </c>
      <c r="AM97" s="464">
        <f t="shared" si="86"/>
        <v>0.82265384615384629</v>
      </c>
      <c r="AN97" s="464">
        <f t="shared" si="90"/>
        <v>1.056</v>
      </c>
      <c r="AO97" s="464">
        <f t="shared" si="72"/>
        <v>3.9482700849297063</v>
      </c>
      <c r="AP97" s="100">
        <f t="shared" si="73"/>
        <v>103.84000000000002</v>
      </c>
      <c r="AQ97" s="10">
        <f t="shared" si="91"/>
        <v>0.9633701321876792</v>
      </c>
      <c r="AR97" s="77">
        <f t="shared" si="74"/>
        <v>40.790049961977779</v>
      </c>
      <c r="AS97" s="77">
        <f t="shared" si="92"/>
        <v>14.550090781690047</v>
      </c>
      <c r="AT97" s="10"/>
      <c r="AU97">
        <f t="shared" si="93"/>
        <v>96.337013218767922</v>
      </c>
      <c r="BE97" s="31"/>
      <c r="BF97" s="32"/>
    </row>
    <row r="98" spans="7:58" x14ac:dyDescent="0.2">
      <c r="G98">
        <v>89</v>
      </c>
      <c r="H98">
        <f t="shared" si="55"/>
        <v>8.9</v>
      </c>
      <c r="I98" s="463">
        <f t="shared" si="75"/>
        <v>0.49418833333333329</v>
      </c>
      <c r="J98" s="464">
        <f t="shared" si="56"/>
        <v>8.0387968888888874</v>
      </c>
      <c r="K98" s="464">
        <f t="shared" si="76"/>
        <v>12.919398444444443</v>
      </c>
      <c r="L98" s="464">
        <f t="shared" si="77"/>
        <v>4.8806015555555566</v>
      </c>
      <c r="M98" s="77">
        <f t="shared" si="57"/>
        <v>0</v>
      </c>
      <c r="N98" s="463">
        <f t="shared" si="58"/>
        <v>9.1975642401526141</v>
      </c>
      <c r="O98" s="463">
        <f t="shared" si="78"/>
        <v>0.43778990756417618</v>
      </c>
      <c r="P98">
        <f t="shared" si="59"/>
        <v>0.5</v>
      </c>
      <c r="Q98" s="463">
        <f t="shared" si="79"/>
        <v>0.93778990756417624</v>
      </c>
      <c r="R98" s="9">
        <f t="shared" si="87"/>
        <v>2.3206007738803627</v>
      </c>
      <c r="S98" s="9">
        <f t="shared" si="80"/>
        <v>1.6155563855202414E-2</v>
      </c>
      <c r="T98" s="9">
        <f t="shared" si="88"/>
        <v>1.6155563855202414E-2</v>
      </c>
      <c r="U98" s="463">
        <f t="shared" si="60"/>
        <v>6.4657524652500866</v>
      </c>
      <c r="V98" s="465">
        <f t="shared" si="81"/>
        <v>0.41805954941887569</v>
      </c>
      <c r="W98" s="463">
        <f t="shared" si="89"/>
        <v>0.41805954941887569</v>
      </c>
      <c r="X98" s="463">
        <f t="shared" si="61"/>
        <v>6.4657524652500866</v>
      </c>
      <c r="Y98" s="463">
        <f t="shared" si="82"/>
        <v>7.5250718895397625E-2</v>
      </c>
      <c r="Z98" s="463">
        <f t="shared" si="62"/>
        <v>0.70702361445304263</v>
      </c>
      <c r="AA98" s="463">
        <f t="shared" si="63"/>
        <v>2.9999999999999992E-2</v>
      </c>
      <c r="AB98" s="463">
        <f t="shared" si="64"/>
        <v>0</v>
      </c>
      <c r="AC98" s="463">
        <f t="shared" si="65"/>
        <v>0.82468597585768899</v>
      </c>
      <c r="AD98" s="463">
        <f t="shared" si="66"/>
        <v>6.5413479505256849</v>
      </c>
      <c r="AE98" s="463">
        <f t="shared" si="83"/>
        <v>7.702061941772384E-2</v>
      </c>
      <c r="AF98" s="463">
        <f t="shared" si="67"/>
        <v>0.21360000000000001</v>
      </c>
      <c r="AG98" s="463">
        <f t="shared" si="68"/>
        <v>0.29516741484234094</v>
      </c>
      <c r="AH98" s="463">
        <f t="shared" si="69"/>
        <v>0</v>
      </c>
      <c r="AI98">
        <f t="shared" si="70"/>
        <v>0</v>
      </c>
      <c r="AJ98" s="464">
        <f t="shared" si="71"/>
        <v>0.43171163999999995</v>
      </c>
      <c r="AK98">
        <f t="shared" si="84"/>
        <v>7.2000000000000008E-2</v>
      </c>
      <c r="AL98" s="464">
        <f t="shared" si="85"/>
        <v>0.98399999999999999</v>
      </c>
      <c r="AM98" s="464">
        <f t="shared" si="86"/>
        <v>0.82265384615384629</v>
      </c>
      <c r="AN98" s="464">
        <f t="shared" si="90"/>
        <v>1.056</v>
      </c>
      <c r="AO98" s="464">
        <f t="shared" si="72"/>
        <v>3.9795700515382846</v>
      </c>
      <c r="AP98" s="100">
        <f t="shared" si="73"/>
        <v>105.02000000000001</v>
      </c>
      <c r="AQ98" s="10">
        <f t="shared" si="91"/>
        <v>0.96349003900055175</v>
      </c>
      <c r="AR98" s="77">
        <f t="shared" si="74"/>
        <v>41.234298792884452</v>
      </c>
      <c r="AS98" s="77">
        <f t="shared" si="92"/>
        <v>14.758370742117046</v>
      </c>
      <c r="AT98" s="10"/>
      <c r="AU98">
        <f t="shared" si="93"/>
        <v>96.34900390005518</v>
      </c>
      <c r="BE98" s="31"/>
      <c r="BF98" s="32"/>
    </row>
    <row r="99" spans="7:58" x14ac:dyDescent="0.2">
      <c r="G99">
        <v>90</v>
      </c>
      <c r="H99">
        <f t="shared" si="55"/>
        <v>9</v>
      </c>
      <c r="I99" s="463">
        <f t="shared" si="75"/>
        <v>0.49421666666666669</v>
      </c>
      <c r="J99" s="464">
        <f t="shared" si="56"/>
        <v>8.0392577777777774</v>
      </c>
      <c r="K99" s="464">
        <f t="shared" si="76"/>
        <v>13.019628888888889</v>
      </c>
      <c r="L99" s="464">
        <f t="shared" si="77"/>
        <v>4.9803711111111113</v>
      </c>
      <c r="M99" s="77">
        <f t="shared" si="57"/>
        <v>0</v>
      </c>
      <c r="N99" s="463">
        <f t="shared" si="58"/>
        <v>9.2943964552912224</v>
      </c>
      <c r="O99" s="463">
        <f t="shared" si="78"/>
        <v>0.44738822418181107</v>
      </c>
      <c r="P99">
        <f t="shared" si="59"/>
        <v>0.5</v>
      </c>
      <c r="Q99" s="463">
        <f t="shared" si="79"/>
        <v>0.94738822418181101</v>
      </c>
      <c r="R99" s="9">
        <f t="shared" si="87"/>
        <v>2.3207338210423964</v>
      </c>
      <c r="S99" s="9">
        <f t="shared" si="80"/>
        <v>1.6157416404390126E-2</v>
      </c>
      <c r="T99" s="9">
        <f t="shared" si="88"/>
        <v>1.6157416404390126E-2</v>
      </c>
      <c r="U99" s="463">
        <f t="shared" si="60"/>
        <v>6.5340113885556041</v>
      </c>
      <c r="V99" s="465">
        <f t="shared" si="81"/>
        <v>0.42693304825774336</v>
      </c>
      <c r="W99" s="463">
        <f t="shared" si="89"/>
        <v>0.42693304825774336</v>
      </c>
      <c r="X99" s="463">
        <f t="shared" si="61"/>
        <v>6.5340113885556041</v>
      </c>
      <c r="Y99" s="463">
        <f t="shared" si="82"/>
        <v>7.6847948686393802E-2</v>
      </c>
      <c r="Z99" s="463">
        <f t="shared" si="62"/>
        <v>0.71393794159317969</v>
      </c>
      <c r="AA99" s="463">
        <f t="shared" si="63"/>
        <v>2.9999999999999992E-2</v>
      </c>
      <c r="AB99" s="463">
        <f t="shared" si="64"/>
        <v>0</v>
      </c>
      <c r="AC99" s="463">
        <f t="shared" si="65"/>
        <v>0.83359794875781823</v>
      </c>
      <c r="AD99" s="463">
        <f t="shared" si="66"/>
        <v>6.6100303057062986</v>
      </c>
      <c r="AE99" s="463">
        <f t="shared" si="83"/>
        <v>7.8646501156240264E-2</v>
      </c>
      <c r="AF99" s="463">
        <f t="shared" si="67"/>
        <v>0.216</v>
      </c>
      <c r="AG99" s="463">
        <f t="shared" si="68"/>
        <v>0.2993551481573774</v>
      </c>
      <c r="AH99" s="463">
        <f t="shared" si="69"/>
        <v>0</v>
      </c>
      <c r="AI99">
        <f t="shared" si="70"/>
        <v>0</v>
      </c>
      <c r="AJ99" s="464">
        <f t="shared" si="71"/>
        <v>0.43170839999999994</v>
      </c>
      <c r="AK99">
        <f t="shared" si="84"/>
        <v>7.2000000000000008E-2</v>
      </c>
      <c r="AL99" s="464">
        <f t="shared" si="85"/>
        <v>0.98399999999999999</v>
      </c>
      <c r="AM99" s="464">
        <f t="shared" si="86"/>
        <v>0.82265384615384629</v>
      </c>
      <c r="AN99" s="464">
        <f t="shared" si="90"/>
        <v>1.056</v>
      </c>
      <c r="AO99" s="464">
        <f t="shared" si="72"/>
        <v>4.0111401857591398</v>
      </c>
      <c r="AP99" s="100">
        <f t="shared" si="73"/>
        <v>106.2</v>
      </c>
      <c r="AQ99" s="10">
        <f t="shared" si="91"/>
        <v>0.96360494792996032</v>
      </c>
      <c r="AR99" s="77">
        <f t="shared" si="74"/>
        <v>41.679897437890915</v>
      </c>
      <c r="AS99" s="77">
        <f t="shared" si="92"/>
        <v>14.96775740786887</v>
      </c>
      <c r="AT99" s="10"/>
      <c r="AU99">
        <f t="shared" si="93"/>
        <v>96.360494792996036</v>
      </c>
      <c r="BE99" s="31"/>
      <c r="BF99" s="32"/>
    </row>
    <row r="100" spans="7:58" x14ac:dyDescent="0.2">
      <c r="G100">
        <v>91</v>
      </c>
      <c r="H100">
        <f t="shared" si="55"/>
        <v>9.1</v>
      </c>
      <c r="I100" s="463">
        <f t="shared" si="75"/>
        <v>0.49424500000000005</v>
      </c>
      <c r="J100" s="464">
        <f t="shared" si="56"/>
        <v>8.0397186666666673</v>
      </c>
      <c r="K100" s="464">
        <f t="shared" si="76"/>
        <v>13.119859333333334</v>
      </c>
      <c r="L100" s="464">
        <f t="shared" si="77"/>
        <v>5.080140666666666</v>
      </c>
      <c r="M100" s="77">
        <f t="shared" si="57"/>
        <v>0</v>
      </c>
      <c r="N100" s="463">
        <f t="shared" si="58"/>
        <v>9.3912950661731962</v>
      </c>
      <c r="O100" s="463">
        <f t="shared" si="78"/>
        <v>0.45710823977197473</v>
      </c>
      <c r="P100">
        <f t="shared" si="59"/>
        <v>0.5</v>
      </c>
      <c r="Q100" s="463">
        <f t="shared" si="79"/>
        <v>0.95710823977197479</v>
      </c>
      <c r="R100" s="9">
        <f t="shared" si="87"/>
        <v>2.3208668682044298</v>
      </c>
      <c r="S100" s="9">
        <f t="shared" si="80"/>
        <v>1.6159269059787113E-2</v>
      </c>
      <c r="T100" s="9">
        <f t="shared" si="88"/>
        <v>1.6159269059787113E-2</v>
      </c>
      <c r="U100" s="463">
        <f t="shared" si="60"/>
        <v>6.6023208870430423</v>
      </c>
      <c r="V100" s="465">
        <f t="shared" si="81"/>
        <v>0.43590641095484828</v>
      </c>
      <c r="W100" s="463">
        <f t="shared" si="89"/>
        <v>0.43590641095484828</v>
      </c>
      <c r="X100" s="463">
        <f t="shared" si="61"/>
        <v>6.6023208870430423</v>
      </c>
      <c r="Y100" s="463">
        <f t="shared" si="82"/>
        <v>7.8463153971872687E-2</v>
      </c>
      <c r="Z100" s="463">
        <f t="shared" si="62"/>
        <v>0.72085226873331665</v>
      </c>
      <c r="AA100" s="463">
        <f t="shared" si="63"/>
        <v>2.9999999999999992E-2</v>
      </c>
      <c r="AB100" s="463">
        <f t="shared" si="64"/>
        <v>0</v>
      </c>
      <c r="AC100" s="463">
        <f t="shared" si="65"/>
        <v>0.84253704549065733</v>
      </c>
      <c r="AD100" s="463">
        <f t="shared" si="66"/>
        <v>6.6787560162386672</v>
      </c>
      <c r="AE100" s="463">
        <f t="shared" si="83"/>
        <v>8.0290407463999541E-2</v>
      </c>
      <c r="AF100" s="463">
        <f t="shared" si="67"/>
        <v>0.21839999999999998</v>
      </c>
      <c r="AG100" s="463">
        <f t="shared" si="68"/>
        <v>0.30356508026120227</v>
      </c>
      <c r="AH100" s="463">
        <f t="shared" si="69"/>
        <v>0</v>
      </c>
      <c r="AI100">
        <f t="shared" si="70"/>
        <v>0</v>
      </c>
      <c r="AJ100" s="464">
        <f t="shared" si="71"/>
        <v>0.43170515999999992</v>
      </c>
      <c r="AK100">
        <f t="shared" si="84"/>
        <v>7.2000000000000008E-2</v>
      </c>
      <c r="AL100" s="464">
        <f t="shared" si="85"/>
        <v>0.98399999999999999</v>
      </c>
      <c r="AM100" s="464">
        <f t="shared" si="86"/>
        <v>0.82265384615384629</v>
      </c>
      <c r="AN100" s="464">
        <f t="shared" si="90"/>
        <v>1.056</v>
      </c>
      <c r="AO100" s="464">
        <f t="shared" si="72"/>
        <v>4.04298120553847</v>
      </c>
      <c r="AP100" s="100">
        <f t="shared" si="73"/>
        <v>107.38</v>
      </c>
      <c r="AQ100" s="10">
        <f t="shared" si="91"/>
        <v>0.96371501496553469</v>
      </c>
      <c r="AR100" s="77">
        <f t="shared" si="74"/>
        <v>42.126852274532865</v>
      </c>
      <c r="AS100" s="77">
        <f t="shared" si="92"/>
        <v>15.178254013060114</v>
      </c>
      <c r="AT100" s="10"/>
      <c r="AU100">
        <f t="shared" si="93"/>
        <v>96.371501496553464</v>
      </c>
      <c r="BE100" s="31"/>
      <c r="BF100" s="32"/>
    </row>
    <row r="101" spans="7:58" x14ac:dyDescent="0.2">
      <c r="G101">
        <v>92</v>
      </c>
      <c r="H101">
        <f t="shared" si="55"/>
        <v>9.2000000000000011</v>
      </c>
      <c r="I101" s="463">
        <f t="shared" si="75"/>
        <v>0.49427333333333334</v>
      </c>
      <c r="J101" s="464">
        <f t="shared" si="56"/>
        <v>8.0401795555555555</v>
      </c>
      <c r="K101" s="464">
        <f t="shared" si="76"/>
        <v>13.22008977777778</v>
      </c>
      <c r="L101" s="464">
        <f t="shared" si="77"/>
        <v>5.1799102222222233</v>
      </c>
      <c r="M101" s="77">
        <f t="shared" si="57"/>
        <v>0</v>
      </c>
      <c r="N101" s="463">
        <f t="shared" si="58"/>
        <v>9.4882580386038793</v>
      </c>
      <c r="O101" s="463">
        <f t="shared" si="78"/>
        <v>0.46695047062795242</v>
      </c>
      <c r="P101">
        <f t="shared" si="59"/>
        <v>0.5</v>
      </c>
      <c r="Q101" s="463">
        <f t="shared" si="79"/>
        <v>0.96695047062795236</v>
      </c>
      <c r="R101" s="9">
        <f t="shared" si="87"/>
        <v>2.3209999153664631</v>
      </c>
      <c r="S101" s="9">
        <f t="shared" si="80"/>
        <v>1.6161121821393388E-2</v>
      </c>
      <c r="T101" s="9">
        <f t="shared" si="88"/>
        <v>1.6161121821393388E-2</v>
      </c>
      <c r="U101" s="463">
        <f t="shared" si="60"/>
        <v>6.6706795344269132</v>
      </c>
      <c r="V101" s="465">
        <f t="shared" si="81"/>
        <v>0.44497965451022065</v>
      </c>
      <c r="W101" s="463">
        <f t="shared" si="89"/>
        <v>0.44497965451022065</v>
      </c>
      <c r="X101" s="463">
        <f t="shared" si="61"/>
        <v>6.6706795344269132</v>
      </c>
      <c r="Y101" s="463">
        <f t="shared" si="82"/>
        <v>8.009633781183971E-2</v>
      </c>
      <c r="Z101" s="463">
        <f t="shared" si="62"/>
        <v>0.72776659587345394</v>
      </c>
      <c r="AA101" s="463">
        <f t="shared" si="63"/>
        <v>2.9999999999999992E-2</v>
      </c>
      <c r="AB101" s="463">
        <f t="shared" si="64"/>
        <v>0</v>
      </c>
      <c r="AC101" s="463">
        <f t="shared" si="65"/>
        <v>0.85150339439029632</v>
      </c>
      <c r="AD101" s="463">
        <f t="shared" si="66"/>
        <v>6.7475236313857447</v>
      </c>
      <c r="AE101" s="463">
        <f t="shared" si="83"/>
        <v>8.1952335280996311E-2</v>
      </c>
      <c r="AF101" s="463">
        <f t="shared" si="67"/>
        <v>0.22080000000000002</v>
      </c>
      <c r="AG101" s="463">
        <f t="shared" si="68"/>
        <v>0.30779727639981536</v>
      </c>
      <c r="AH101" s="463">
        <f t="shared" si="69"/>
        <v>0</v>
      </c>
      <c r="AI101">
        <f t="shared" si="70"/>
        <v>0</v>
      </c>
      <c r="AJ101" s="464">
        <f t="shared" si="71"/>
        <v>0.43170192000000002</v>
      </c>
      <c r="AK101">
        <f t="shared" si="84"/>
        <v>7.2000000000000008E-2</v>
      </c>
      <c r="AL101" s="464">
        <f t="shared" si="85"/>
        <v>0.98399999999999999</v>
      </c>
      <c r="AM101" s="464">
        <f t="shared" si="86"/>
        <v>0.82265384615384629</v>
      </c>
      <c r="AN101" s="464">
        <f t="shared" si="90"/>
        <v>1.056</v>
      </c>
      <c r="AO101" s="464">
        <f t="shared" si="72"/>
        <v>4.0750938377496784</v>
      </c>
      <c r="AP101" s="100">
        <f t="shared" si="73"/>
        <v>108.56000000000002</v>
      </c>
      <c r="AQ101" s="10">
        <f t="shared" si="91"/>
        <v>0.96382038937509273</v>
      </c>
      <c r="AR101" s="77">
        <f t="shared" si="74"/>
        <v>42.575169719514818</v>
      </c>
      <c r="AS101" s="77">
        <f t="shared" si="92"/>
        <v>15.389863819990769</v>
      </c>
      <c r="AT101" s="10"/>
      <c r="AU101">
        <f t="shared" si="93"/>
        <v>96.382038937509279</v>
      </c>
      <c r="BE101" s="31"/>
      <c r="BF101" s="32"/>
    </row>
    <row r="102" spans="7:58" x14ac:dyDescent="0.2">
      <c r="G102">
        <v>93</v>
      </c>
      <c r="H102">
        <f t="shared" si="55"/>
        <v>9.3000000000000007</v>
      </c>
      <c r="I102" s="463">
        <f t="shared" si="75"/>
        <v>0.49430166666666669</v>
      </c>
      <c r="J102" s="464">
        <f t="shared" si="56"/>
        <v>8.0406404444444437</v>
      </c>
      <c r="K102" s="464">
        <f t="shared" si="76"/>
        <v>13.320320222222222</v>
      </c>
      <c r="L102" s="464">
        <f t="shared" si="77"/>
        <v>5.2796797777777789</v>
      </c>
      <c r="M102" s="77">
        <f t="shared" si="57"/>
        <v>0</v>
      </c>
      <c r="N102" s="463">
        <f t="shared" si="58"/>
        <v>9.585283419374532</v>
      </c>
      <c r="O102" s="463">
        <f t="shared" si="78"/>
        <v>0.47691544069452796</v>
      </c>
      <c r="P102">
        <f t="shared" si="59"/>
        <v>0.5</v>
      </c>
      <c r="Q102" s="463">
        <f t="shared" si="79"/>
        <v>0.97691544069452796</v>
      </c>
      <c r="R102" s="9">
        <f t="shared" si="87"/>
        <v>2.321132962528496</v>
      </c>
      <c r="S102" s="9">
        <f t="shared" si="80"/>
        <v>1.616297468920894E-2</v>
      </c>
      <c r="T102" s="9">
        <f t="shared" si="88"/>
        <v>1.616297468920894E-2</v>
      </c>
      <c r="U102" s="463">
        <f t="shared" si="60"/>
        <v>6.739085961196003</v>
      </c>
      <c r="V102" s="465">
        <f t="shared" si="81"/>
        <v>0.45415279592389057</v>
      </c>
      <c r="W102" s="463">
        <f t="shared" si="89"/>
        <v>0.45415279592389057</v>
      </c>
      <c r="X102" s="463">
        <f t="shared" si="61"/>
        <v>6.739085961196003</v>
      </c>
      <c r="Y102" s="463">
        <f t="shared" si="82"/>
        <v>8.17475032663003E-2</v>
      </c>
      <c r="Z102" s="463">
        <f t="shared" si="62"/>
        <v>0.73468092301359067</v>
      </c>
      <c r="AA102" s="463">
        <f t="shared" si="63"/>
        <v>2.9999999999999992E-2</v>
      </c>
      <c r="AB102" s="463">
        <f t="shared" si="64"/>
        <v>0</v>
      </c>
      <c r="AC102" s="463">
        <f t="shared" si="65"/>
        <v>0.86049712458034577</v>
      </c>
      <c r="AD102" s="463">
        <f t="shared" si="66"/>
        <v>6.8163317581634235</v>
      </c>
      <c r="AE102" s="463">
        <f t="shared" si="83"/>
        <v>8.3632281547225087E-2</v>
      </c>
      <c r="AF102" s="463">
        <f t="shared" si="67"/>
        <v>0.22320000000000001</v>
      </c>
      <c r="AG102" s="463">
        <f t="shared" si="68"/>
        <v>0.31205180238612007</v>
      </c>
      <c r="AH102" s="463">
        <f t="shared" si="69"/>
        <v>0</v>
      </c>
      <c r="AI102">
        <f t="shared" si="70"/>
        <v>0</v>
      </c>
      <c r="AJ102" s="464">
        <f t="shared" si="71"/>
        <v>0.43169868</v>
      </c>
      <c r="AK102">
        <f t="shared" si="84"/>
        <v>7.2000000000000008E-2</v>
      </c>
      <c r="AL102" s="464">
        <f t="shared" si="85"/>
        <v>0.98399999999999999</v>
      </c>
      <c r="AM102" s="464">
        <f t="shared" si="86"/>
        <v>0.82265384615384629</v>
      </c>
      <c r="AN102" s="464">
        <f t="shared" si="90"/>
        <v>1.056</v>
      </c>
      <c r="AO102" s="464">
        <f t="shared" si="72"/>
        <v>4.1074788182740924</v>
      </c>
      <c r="AP102" s="100">
        <f t="shared" si="73"/>
        <v>109.74000000000001</v>
      </c>
      <c r="AQ102" s="10">
        <f t="shared" si="91"/>
        <v>0.96392121405841114</v>
      </c>
      <c r="AR102" s="77">
        <f t="shared" si="74"/>
        <v>43.024856229017288</v>
      </c>
      <c r="AS102" s="77">
        <f t="shared" si="92"/>
        <v>15.602590119306004</v>
      </c>
      <c r="AT102" s="10"/>
      <c r="AU102">
        <f t="shared" si="93"/>
        <v>96.39212140584111</v>
      </c>
      <c r="BE102" s="31"/>
      <c r="BF102" s="32"/>
    </row>
    <row r="103" spans="7:58" x14ac:dyDescent="0.2">
      <c r="G103">
        <v>94</v>
      </c>
      <c r="H103">
        <f t="shared" si="55"/>
        <v>9.3999999999999986</v>
      </c>
      <c r="I103" s="463">
        <f t="shared" si="75"/>
        <v>0.4943300000000001</v>
      </c>
      <c r="J103" s="464">
        <f t="shared" si="56"/>
        <v>8.0411013333333354</v>
      </c>
      <c r="K103" s="464">
        <f t="shared" si="76"/>
        <v>13.420550666666667</v>
      </c>
      <c r="L103" s="464">
        <f t="shared" si="77"/>
        <v>5.3794493333333309</v>
      </c>
      <c r="M103" s="77">
        <f t="shared" si="57"/>
        <v>0</v>
      </c>
      <c r="N103" s="463">
        <f t="shared" si="58"/>
        <v>9.6823693323351687</v>
      </c>
      <c r="O103" s="463">
        <f t="shared" si="78"/>
        <v>0.48700368164064051</v>
      </c>
      <c r="P103">
        <f t="shared" si="59"/>
        <v>0.5</v>
      </c>
      <c r="Q103" s="463">
        <f t="shared" si="79"/>
        <v>0.98700368164064045</v>
      </c>
      <c r="R103" s="9">
        <f t="shared" si="87"/>
        <v>2.3212660096905302</v>
      </c>
      <c r="S103" s="9">
        <f t="shared" si="80"/>
        <v>1.616482766323379E-2</v>
      </c>
      <c r="T103" s="9">
        <f t="shared" si="88"/>
        <v>1.616482766323379E-2</v>
      </c>
      <c r="U103" s="463">
        <f t="shared" si="60"/>
        <v>6.8075388518603983</v>
      </c>
      <c r="V103" s="465">
        <f t="shared" si="81"/>
        <v>0.46342585219588794</v>
      </c>
      <c r="W103" s="463">
        <f t="shared" si="89"/>
        <v>0.46342585219588794</v>
      </c>
      <c r="X103" s="463">
        <f t="shared" si="61"/>
        <v>6.8075388518603983</v>
      </c>
      <c r="Y103" s="463">
        <f t="shared" si="82"/>
        <v>8.3416653395259818E-2</v>
      </c>
      <c r="Z103" s="463">
        <f t="shared" si="62"/>
        <v>0.74159525015372774</v>
      </c>
      <c r="AA103" s="463">
        <f t="shared" si="63"/>
        <v>2.9999999999999992E-2</v>
      </c>
      <c r="AB103" s="463">
        <f t="shared" si="64"/>
        <v>0</v>
      </c>
      <c r="AC103" s="463">
        <f t="shared" si="65"/>
        <v>0.8695183659801432</v>
      </c>
      <c r="AD103" s="463">
        <f t="shared" si="66"/>
        <v>6.8851790585398565</v>
      </c>
      <c r="AE103" s="463">
        <f t="shared" si="83"/>
        <v>8.5330243202680414E-2</v>
      </c>
      <c r="AF103" s="463">
        <f t="shared" si="67"/>
        <v>0.22559999999999997</v>
      </c>
      <c r="AG103" s="463">
        <f t="shared" si="68"/>
        <v>0.31632872460315659</v>
      </c>
      <c r="AH103" s="463">
        <f t="shared" si="69"/>
        <v>0</v>
      </c>
      <c r="AI103">
        <f t="shared" si="70"/>
        <v>0</v>
      </c>
      <c r="AJ103" s="464">
        <f t="shared" si="71"/>
        <v>0.43169543999999999</v>
      </c>
      <c r="AK103">
        <f t="shared" si="84"/>
        <v>7.2000000000000008E-2</v>
      </c>
      <c r="AL103" s="464">
        <f t="shared" si="85"/>
        <v>0.98399999999999999</v>
      </c>
      <c r="AM103" s="464">
        <f t="shared" si="86"/>
        <v>0.82265384615384629</v>
      </c>
      <c r="AN103" s="464">
        <f t="shared" si="90"/>
        <v>1.056</v>
      </c>
      <c r="AO103" s="464">
        <f t="shared" si="72"/>
        <v>4.1401368920830617</v>
      </c>
      <c r="AP103" s="100">
        <f t="shared" si="73"/>
        <v>110.91999999999999</v>
      </c>
      <c r="AQ103" s="10">
        <f t="shared" si="91"/>
        <v>0.96401762587883788</v>
      </c>
      <c r="AR103" s="77">
        <f t="shared" si="74"/>
        <v>43.475918299007162</v>
      </c>
      <c r="AS103" s="77">
        <f t="shared" si="92"/>
        <v>15.81643623015783</v>
      </c>
      <c r="AT103" s="10"/>
      <c r="AU103">
        <f t="shared" si="93"/>
        <v>96.401762587883795</v>
      </c>
      <c r="BE103" s="31"/>
      <c r="BF103" s="32"/>
    </row>
    <row r="104" spans="7:58" x14ac:dyDescent="0.2">
      <c r="G104">
        <v>95</v>
      </c>
      <c r="H104">
        <f t="shared" si="55"/>
        <v>9.5</v>
      </c>
      <c r="I104" s="463">
        <f t="shared" si="75"/>
        <v>0.49435833333333329</v>
      </c>
      <c r="J104" s="464">
        <f t="shared" si="56"/>
        <v>8.0415622222222201</v>
      </c>
      <c r="K104" s="464">
        <f t="shared" si="76"/>
        <v>13.520781111111109</v>
      </c>
      <c r="L104" s="464">
        <f t="shared" si="77"/>
        <v>5.47921888888889</v>
      </c>
      <c r="M104" s="77">
        <f t="shared" si="57"/>
        <v>0</v>
      </c>
      <c r="N104" s="463">
        <f t="shared" si="58"/>
        <v>9.779513974689948</v>
      </c>
      <c r="O104" s="463">
        <f t="shared" si="78"/>
        <v>0.49721573293333499</v>
      </c>
      <c r="P104">
        <f t="shared" si="59"/>
        <v>0.5</v>
      </c>
      <c r="Q104" s="463">
        <f t="shared" si="79"/>
        <v>0.99721573293333499</v>
      </c>
      <c r="R104" s="9">
        <f t="shared" si="87"/>
        <v>2.3213990568525622</v>
      </c>
      <c r="S104" s="9">
        <f t="shared" si="80"/>
        <v>1.6166680743467898E-2</v>
      </c>
      <c r="T104" s="9">
        <f t="shared" si="88"/>
        <v>1.6166680743467898E-2</v>
      </c>
      <c r="U104" s="463">
        <f t="shared" si="60"/>
        <v>6.8760369423545349</v>
      </c>
      <c r="V104" s="465">
        <f t="shared" si="81"/>
        <v>0.47279884032624303</v>
      </c>
      <c r="W104" s="463">
        <f t="shared" si="89"/>
        <v>0.47279884032624303</v>
      </c>
      <c r="X104" s="463">
        <f t="shared" si="61"/>
        <v>6.8760369423545349</v>
      </c>
      <c r="Y104" s="463">
        <f t="shared" si="82"/>
        <v>8.5103791258723749E-2</v>
      </c>
      <c r="Z104" s="463">
        <f t="shared" si="62"/>
        <v>0.74850957729386491</v>
      </c>
      <c r="AA104" s="463">
        <f t="shared" si="63"/>
        <v>2.9999999999999992E-2</v>
      </c>
      <c r="AB104" s="463">
        <f t="shared" si="64"/>
        <v>0</v>
      </c>
      <c r="AC104" s="463">
        <f t="shared" si="65"/>
        <v>0.87856724931101171</v>
      </c>
      <c r="AD104" s="463">
        <f t="shared" si="66"/>
        <v>6.9540642467935028</v>
      </c>
      <c r="AE104" s="463">
        <f t="shared" si="83"/>
        <v>8.7046217187357042E-2</v>
      </c>
      <c r="AF104" s="463">
        <f t="shared" si="67"/>
        <v>0.22800000000000001</v>
      </c>
      <c r="AG104" s="463">
        <f t="shared" si="68"/>
        <v>0.32062811000737174</v>
      </c>
      <c r="AH104" s="463">
        <f t="shared" si="69"/>
        <v>0</v>
      </c>
      <c r="AI104">
        <f t="shared" si="70"/>
        <v>0</v>
      </c>
      <c r="AJ104" s="464">
        <f t="shared" si="71"/>
        <v>0.43169219999999997</v>
      </c>
      <c r="AK104">
        <f t="shared" si="84"/>
        <v>7.2000000000000008E-2</v>
      </c>
      <c r="AL104" s="464">
        <f t="shared" si="85"/>
        <v>0.98399999999999999</v>
      </c>
      <c r="AM104" s="464">
        <f t="shared" si="86"/>
        <v>0.82265384615384629</v>
      </c>
      <c r="AN104" s="464">
        <f t="shared" si="90"/>
        <v>1.056</v>
      </c>
      <c r="AO104" s="464">
        <f t="shared" si="72"/>
        <v>4.1730688133214295</v>
      </c>
      <c r="AP104" s="100">
        <f t="shared" si="73"/>
        <v>112.10000000000001</v>
      </c>
      <c r="AQ104" s="10">
        <f t="shared" si="91"/>
        <v>0.96410975597434889</v>
      </c>
      <c r="AR104" s="77">
        <f t="shared" si="74"/>
        <v>43.928362465550585</v>
      </c>
      <c r="AS104" s="77">
        <f t="shared" si="92"/>
        <v>16.031405500368585</v>
      </c>
      <c r="AT104" s="10"/>
      <c r="AU104">
        <f t="shared" si="93"/>
        <v>96.410975597434884</v>
      </c>
      <c r="BE104" s="31"/>
      <c r="BF104" s="32"/>
    </row>
    <row r="105" spans="7:58" x14ac:dyDescent="0.2">
      <c r="G105">
        <v>96</v>
      </c>
      <c r="H105">
        <f t="shared" si="55"/>
        <v>9.6</v>
      </c>
      <c r="I105" s="463">
        <f t="shared" si="75"/>
        <v>0.4943866666666667</v>
      </c>
      <c r="J105" s="464">
        <f t="shared" si="56"/>
        <v>8.0420231111111118</v>
      </c>
      <c r="K105" s="464">
        <f t="shared" si="76"/>
        <v>13.621011555555555</v>
      </c>
      <c r="L105" s="464">
        <f t="shared" si="77"/>
        <v>5.5789884444444438</v>
      </c>
      <c r="M105" s="77">
        <f t="shared" si="57"/>
        <v>0</v>
      </c>
      <c r="N105" s="463">
        <f t="shared" si="58"/>
        <v>9.8767156135007976</v>
      </c>
      <c r="O105" s="463">
        <f t="shared" si="78"/>
        <v>0.50755214191303011</v>
      </c>
      <c r="P105">
        <f t="shared" si="59"/>
        <v>0.5</v>
      </c>
      <c r="Q105" s="463">
        <f t="shared" si="79"/>
        <v>1.0075521419130302</v>
      </c>
      <c r="R105" s="9">
        <f t="shared" si="87"/>
        <v>2.321532104014596</v>
      </c>
      <c r="S105" s="9">
        <f t="shared" si="80"/>
        <v>1.616853392991131E-2</v>
      </c>
      <c r="T105" s="9">
        <f t="shared" si="88"/>
        <v>1.616853392991131E-2</v>
      </c>
      <c r="U105" s="463">
        <f t="shared" si="60"/>
        <v>6.9445790175862054</v>
      </c>
      <c r="V105" s="465">
        <f t="shared" si="81"/>
        <v>0.48227177731498588</v>
      </c>
      <c r="W105" s="463">
        <f t="shared" si="89"/>
        <v>0.48227177731498588</v>
      </c>
      <c r="X105" s="463">
        <f t="shared" si="61"/>
        <v>6.9445790175862054</v>
      </c>
      <c r="Y105" s="463">
        <f t="shared" si="82"/>
        <v>8.6808919916697452E-2</v>
      </c>
      <c r="Z105" s="463">
        <f t="shared" si="62"/>
        <v>0.75542390443400176</v>
      </c>
      <c r="AA105" s="463">
        <f t="shared" si="63"/>
        <v>2.9999999999999992E-2</v>
      </c>
      <c r="AB105" s="463">
        <f t="shared" si="64"/>
        <v>0</v>
      </c>
      <c r="AC105" s="463">
        <f t="shared" ref="AC105:AC109" si="94">(AB105+AA105+Z105+Y105*(1+RdsonTopTc*Ta-RdsonTopTc*25))/(1-Y105*RdsonTopTc*ThetaJaTop)</f>
        <v>0.88764390610258004</v>
      </c>
      <c r="AD105" s="463">
        <f t="shared" si="66"/>
        <v>7.0229860870196692</v>
      </c>
      <c r="AE105" s="463">
        <f t="shared" si="83"/>
        <v>8.8780200441249318E-2</v>
      </c>
      <c r="AF105" s="463">
        <f t="shared" si="67"/>
        <v>0.23039999999999999</v>
      </c>
      <c r="AG105" s="463">
        <f t="shared" ref="AG105:AG109" si="95">(AF105+AE105*(1+RdsonBotTc*Ta-RdsonBotTc*25))/(1-AE105*RdsonBotTc*ThetaJaBot)</f>
        <v>0.32495002613192558</v>
      </c>
      <c r="AH105" s="463">
        <f t="shared" si="69"/>
        <v>0</v>
      </c>
      <c r="AI105">
        <f t="shared" si="70"/>
        <v>0</v>
      </c>
      <c r="AJ105" s="464">
        <f t="shared" si="71"/>
        <v>0.43168895999999995</v>
      </c>
      <c r="AK105">
        <f t="shared" si="84"/>
        <v>7.2000000000000008E-2</v>
      </c>
      <c r="AL105" s="464">
        <f t="shared" si="85"/>
        <v>0.98399999999999999</v>
      </c>
      <c r="AM105" s="464">
        <f t="shared" si="86"/>
        <v>0.82265384615384629</v>
      </c>
      <c r="AN105" s="464">
        <f t="shared" si="90"/>
        <v>1.056</v>
      </c>
      <c r="AO105" s="464">
        <f t="shared" ref="AO105:AO109" si="96">SUM(Q105,T105,W105,AC105,AJ105,AI105,AG105,AN105, AH105)</f>
        <v>4.2062753453924326</v>
      </c>
      <c r="AP105" s="100">
        <f t="shared" si="73"/>
        <v>113.28</v>
      </c>
      <c r="AQ105" s="10">
        <f t="shared" si="91"/>
        <v>0.9641977300495177</v>
      </c>
      <c r="AR105" s="77">
        <f t="shared" si="74"/>
        <v>44.382195305129002</v>
      </c>
      <c r="AS105" s="77">
        <f t="shared" si="92"/>
        <v>16.247501306596281</v>
      </c>
      <c r="AT105" s="10"/>
      <c r="AU105">
        <f t="shared" si="93"/>
        <v>96.419773004951765</v>
      </c>
      <c r="BE105" s="31"/>
      <c r="BF105" s="32"/>
    </row>
    <row r="106" spans="7:58" x14ac:dyDescent="0.2">
      <c r="G106">
        <v>97</v>
      </c>
      <c r="H106">
        <f t="shared" si="55"/>
        <v>9.6999999999999993</v>
      </c>
      <c r="I106" s="463">
        <f t="shared" si="75"/>
        <v>0.49441500000000005</v>
      </c>
      <c r="J106" s="464">
        <f t="shared" si="56"/>
        <v>8.042484</v>
      </c>
      <c r="K106" s="464">
        <f t="shared" si="76"/>
        <v>13.721242</v>
      </c>
      <c r="L106" s="464">
        <f t="shared" si="77"/>
        <v>5.6787579999999993</v>
      </c>
      <c r="M106" s="77">
        <f t="shared" si="57"/>
        <v>0</v>
      </c>
      <c r="N106" s="463">
        <f t="shared" si="58"/>
        <v>9.9739725823860166</v>
      </c>
      <c r="O106" s="463">
        <f t="shared" si="78"/>
        <v>0.51801346387012692</v>
      </c>
      <c r="P106">
        <f t="shared" si="59"/>
        <v>0.5</v>
      </c>
      <c r="Q106" s="463">
        <f t="shared" si="79"/>
        <v>1.018013463870127</v>
      </c>
      <c r="R106" s="9">
        <f t="shared" si="87"/>
        <v>2.3216651511766293</v>
      </c>
      <c r="S106" s="9">
        <f t="shared" si="80"/>
        <v>1.6170387222564003E-2</v>
      </c>
      <c r="T106" s="9">
        <f t="shared" si="88"/>
        <v>1.6170387222564003E-2</v>
      </c>
      <c r="U106" s="463">
        <f t="shared" si="60"/>
        <v>7.013163909122234</v>
      </c>
      <c r="V106" s="465">
        <f t="shared" si="81"/>
        <v>0.49184468016214655</v>
      </c>
      <c r="W106" s="463">
        <f t="shared" si="89"/>
        <v>0.49184468016214655</v>
      </c>
      <c r="X106" s="463">
        <f t="shared" si="61"/>
        <v>7.013163909122234</v>
      </c>
      <c r="Y106" s="463">
        <f t="shared" si="82"/>
        <v>8.8532042429186372E-2</v>
      </c>
      <c r="Z106" s="463">
        <f t="shared" si="62"/>
        <v>0.76233823157413882</v>
      </c>
      <c r="AA106" s="463">
        <f t="shared" si="63"/>
        <v>2.9999999999999992E-2</v>
      </c>
      <c r="AB106" s="463">
        <f t="shared" si="64"/>
        <v>0</v>
      </c>
      <c r="AC106" s="463">
        <f t="shared" si="94"/>
        <v>0.89674846869916158</v>
      </c>
      <c r="AD106" s="463">
        <f t="shared" si="66"/>
        <v>7.0919433907761364</v>
      </c>
      <c r="AE106" s="463">
        <f t="shared" si="83"/>
        <v>9.0532189904351981E-2</v>
      </c>
      <c r="AF106" s="463">
        <f t="shared" si="67"/>
        <v>0.23279999999999998</v>
      </c>
      <c r="AG106" s="463">
        <f t="shared" si="95"/>
        <v>0.32929454109003792</v>
      </c>
      <c r="AH106" s="463">
        <f t="shared" si="69"/>
        <v>0</v>
      </c>
      <c r="AI106">
        <f t="shared" si="70"/>
        <v>0</v>
      </c>
      <c r="AJ106" s="464">
        <f t="shared" si="71"/>
        <v>0.43168572</v>
      </c>
      <c r="AK106">
        <f t="shared" si="84"/>
        <v>7.2000000000000008E-2</v>
      </c>
      <c r="AL106" s="464">
        <f t="shared" si="85"/>
        <v>0.98399999999999999</v>
      </c>
      <c r="AM106" s="464">
        <f t="shared" si="86"/>
        <v>0.82265384615384629</v>
      </c>
      <c r="AN106" s="464">
        <f t="shared" si="90"/>
        <v>1.056</v>
      </c>
      <c r="AO106" s="464">
        <f t="shared" si="96"/>
        <v>4.2397572610440371</v>
      </c>
      <c r="AP106" s="100">
        <f t="shared" si="73"/>
        <v>114.46</v>
      </c>
      <c r="AQ106" s="10">
        <f t="shared" si="91"/>
        <v>0.96428166864975151</v>
      </c>
      <c r="AR106" s="77">
        <f t="shared" si="74"/>
        <v>44.837423434958076</v>
      </c>
      <c r="AS106" s="77">
        <f t="shared" si="92"/>
        <v>16.464727054501896</v>
      </c>
      <c r="AT106" s="10"/>
      <c r="AU106">
        <f t="shared" si="93"/>
        <v>96.428166864975154</v>
      </c>
      <c r="BE106" s="31"/>
      <c r="BF106" s="32"/>
    </row>
    <row r="107" spans="7:58" x14ac:dyDescent="0.2">
      <c r="G107">
        <v>98</v>
      </c>
      <c r="H107">
        <f t="shared" si="55"/>
        <v>9.8000000000000007</v>
      </c>
      <c r="I107" s="463">
        <f t="shared" si="75"/>
        <v>0.49444333333333335</v>
      </c>
      <c r="J107" s="464">
        <f t="shared" si="56"/>
        <v>8.0429448888888881</v>
      </c>
      <c r="K107" s="464">
        <f t="shared" si="76"/>
        <v>13.821472444444446</v>
      </c>
      <c r="L107" s="464">
        <f t="shared" si="77"/>
        <v>5.7785275555555566</v>
      </c>
      <c r="M107" s="77">
        <f t="shared" si="57"/>
        <v>0</v>
      </c>
      <c r="N107" s="463">
        <f t="shared" si="58"/>
        <v>10.071283278401451</v>
      </c>
      <c r="O107" s="463">
        <f t="shared" si="78"/>
        <v>0.52860026212297306</v>
      </c>
      <c r="P107">
        <f t="shared" si="59"/>
        <v>0.5</v>
      </c>
      <c r="Q107" s="463">
        <f t="shared" si="79"/>
        <v>1.0286002621229731</v>
      </c>
      <c r="R107" s="9">
        <f t="shared" si="87"/>
        <v>2.3217981983386622</v>
      </c>
      <c r="S107" s="9">
        <f t="shared" si="80"/>
        <v>1.6172240621425974E-2</v>
      </c>
      <c r="T107" s="9">
        <f t="shared" si="88"/>
        <v>1.6172240621425974E-2</v>
      </c>
      <c r="U107" s="463">
        <f t="shared" si="60"/>
        <v>7.0817904930021438</v>
      </c>
      <c r="V107" s="465">
        <f t="shared" si="81"/>
        <v>0.50151756586775553</v>
      </c>
      <c r="W107" s="463">
        <f t="shared" si="89"/>
        <v>0.50151756586775553</v>
      </c>
      <c r="X107" s="463">
        <f t="shared" si="61"/>
        <v>7.0817904930021438</v>
      </c>
      <c r="Y107" s="463">
        <f t="shared" si="82"/>
        <v>9.027316185619598E-2</v>
      </c>
      <c r="Z107" s="463">
        <f t="shared" si="62"/>
        <v>0.76925255871427589</v>
      </c>
      <c r="AA107" s="463">
        <f t="shared" si="63"/>
        <v>2.9999999999999992E-2</v>
      </c>
      <c r="AB107" s="463">
        <f t="shared" si="64"/>
        <v>0</v>
      </c>
      <c r="AC107" s="463">
        <f t="shared" si="94"/>
        <v>0.90588107026619269</v>
      </c>
      <c r="AD107" s="463">
        <f t="shared" si="66"/>
        <v>7.1609350148589632</v>
      </c>
      <c r="AE107" s="463">
        <f t="shared" si="83"/>
        <v>9.2302182516659642E-2</v>
      </c>
      <c r="AF107" s="463">
        <f t="shared" si="67"/>
        <v>0.23520000000000002</v>
      </c>
      <c r="AG107" s="463">
        <f t="shared" si="95"/>
        <v>0.33366172357837043</v>
      </c>
      <c r="AH107" s="463">
        <f t="shared" si="69"/>
        <v>0</v>
      </c>
      <c r="AI107">
        <f t="shared" si="70"/>
        <v>0</v>
      </c>
      <c r="AJ107" s="464">
        <f t="shared" si="71"/>
        <v>0.43168247999999998</v>
      </c>
      <c r="AK107">
        <f t="shared" si="84"/>
        <v>7.2000000000000008E-2</v>
      </c>
      <c r="AL107" s="464">
        <f t="shared" si="85"/>
        <v>0.98399999999999999</v>
      </c>
      <c r="AM107" s="464">
        <f t="shared" si="86"/>
        <v>0.82265384615384629</v>
      </c>
      <c r="AN107" s="464">
        <f t="shared" si="90"/>
        <v>1.056</v>
      </c>
      <c r="AO107" s="464">
        <f t="shared" si="96"/>
        <v>4.2735153424567178</v>
      </c>
      <c r="AP107" s="100">
        <f t="shared" si="73"/>
        <v>115.64000000000001</v>
      </c>
      <c r="AQ107" s="10">
        <f t="shared" si="91"/>
        <v>0.96436168741903583</v>
      </c>
      <c r="AR107" s="77">
        <f t="shared" si="74"/>
        <v>45.294053513309635</v>
      </c>
      <c r="AS107" s="77">
        <f t="shared" si="92"/>
        <v>16.683086178918522</v>
      </c>
      <c r="AT107" s="10"/>
      <c r="AU107">
        <f t="shared" si="93"/>
        <v>96.436168741903586</v>
      </c>
      <c r="BE107" s="31"/>
      <c r="BF107" s="32"/>
    </row>
    <row r="108" spans="7:58" x14ac:dyDescent="0.2">
      <c r="G108">
        <v>99</v>
      </c>
      <c r="H108">
        <f t="shared" si="55"/>
        <v>9.9</v>
      </c>
      <c r="I108" s="463">
        <f t="shared" si="75"/>
        <v>0.4944716666666667</v>
      </c>
      <c r="J108" s="464">
        <f t="shared" si="56"/>
        <v>8.0434057777777781</v>
      </c>
      <c r="K108" s="464">
        <f t="shared" si="76"/>
        <v>13.921702888888889</v>
      </c>
      <c r="L108" s="464">
        <f t="shared" si="77"/>
        <v>5.8782971111111113</v>
      </c>
      <c r="M108" s="77">
        <f t="shared" si="57"/>
        <v>0</v>
      </c>
      <c r="N108" s="463">
        <f t="shared" si="58"/>
        <v>10.168646159092784</v>
      </c>
      <c r="O108" s="463">
        <f t="shared" si="78"/>
        <v>0.53931310809720745</v>
      </c>
      <c r="P108">
        <f t="shared" si="59"/>
        <v>0.5</v>
      </c>
      <c r="Q108" s="463">
        <f t="shared" si="79"/>
        <v>1.0393131080972076</v>
      </c>
      <c r="R108" s="9">
        <f t="shared" si="87"/>
        <v>2.321931245500696</v>
      </c>
      <c r="S108" s="9">
        <f t="shared" si="80"/>
        <v>1.617409412649724E-2</v>
      </c>
      <c r="T108" s="9">
        <f t="shared" si="88"/>
        <v>1.617409412649724E-2</v>
      </c>
      <c r="U108" s="463">
        <f t="shared" si="60"/>
        <v>7.1504576876717634</v>
      </c>
      <c r="V108" s="465">
        <f t="shared" si="81"/>
        <v>0.51129045143184226</v>
      </c>
      <c r="W108" s="463">
        <f t="shared" si="89"/>
        <v>0.51129045143184226</v>
      </c>
      <c r="X108" s="463">
        <f t="shared" si="61"/>
        <v>7.1504576876717634</v>
      </c>
      <c r="Y108" s="463">
        <f t="shared" si="82"/>
        <v>9.2032281257731594E-2</v>
      </c>
      <c r="Z108" s="463">
        <f t="shared" si="62"/>
        <v>0.77616688585441307</v>
      </c>
      <c r="AA108" s="463">
        <f t="shared" si="63"/>
        <v>2.9999999999999992E-2</v>
      </c>
      <c r="AB108" s="463">
        <f t="shared" si="64"/>
        <v>0</v>
      </c>
      <c r="AC108" s="463">
        <f t="shared" si="94"/>
        <v>0.9150418447967299</v>
      </c>
      <c r="AD108" s="463">
        <f t="shared" si="66"/>
        <v>7.2299598592003411</v>
      </c>
      <c r="AE108" s="463">
        <f t="shared" si="83"/>
        <v>9.4090175218166788E-2</v>
      </c>
      <c r="AF108" s="463">
        <f t="shared" si="67"/>
        <v>0.23760000000000001</v>
      </c>
      <c r="AG108" s="463">
        <f t="shared" si="95"/>
        <v>0.33805164288044892</v>
      </c>
      <c r="AH108" s="463">
        <f t="shared" si="69"/>
        <v>0</v>
      </c>
      <c r="AI108">
        <f t="shared" si="70"/>
        <v>0</v>
      </c>
      <c r="AJ108" s="464">
        <f t="shared" si="71"/>
        <v>0.43167923999999996</v>
      </c>
      <c r="AK108">
        <f t="shared" si="84"/>
        <v>7.2000000000000008E-2</v>
      </c>
      <c r="AL108" s="464">
        <f t="shared" si="85"/>
        <v>0.98399999999999999</v>
      </c>
      <c r="AM108" s="464">
        <f t="shared" si="86"/>
        <v>0.82265384615384629</v>
      </c>
      <c r="AN108" s="464">
        <f t="shared" si="90"/>
        <v>1.056</v>
      </c>
      <c r="AO108" s="464">
        <f t="shared" si="96"/>
        <v>4.3075503813327263</v>
      </c>
      <c r="AP108" s="100">
        <f t="shared" si="73"/>
        <v>116.82000000000001</v>
      </c>
      <c r="AQ108" s="10">
        <f t="shared" si="91"/>
        <v>0.96443789734233265</v>
      </c>
      <c r="AR108" s="77">
        <f t="shared" si="74"/>
        <v>45.752092239836493</v>
      </c>
      <c r="AS108" s="77">
        <f t="shared" si="92"/>
        <v>16.902582144022446</v>
      </c>
      <c r="AT108" s="10"/>
      <c r="AU108">
        <f t="shared" si="93"/>
        <v>96.443789734233263</v>
      </c>
      <c r="BE108" s="31"/>
      <c r="BF108" s="32"/>
    </row>
    <row r="109" spans="7:58" x14ac:dyDescent="0.2">
      <c r="G109">
        <v>100</v>
      </c>
      <c r="H109">
        <f t="shared" si="55"/>
        <v>10</v>
      </c>
      <c r="I109" s="463">
        <f t="shared" si="75"/>
        <v>0.49450000000000011</v>
      </c>
      <c r="J109" s="464">
        <f t="shared" si="56"/>
        <v>8.0438666666666681</v>
      </c>
      <c r="K109" s="464">
        <f t="shared" si="76"/>
        <v>14.021933333333333</v>
      </c>
      <c r="L109" s="464">
        <f t="shared" si="77"/>
        <v>5.978066666666666</v>
      </c>
      <c r="M109" s="77">
        <f t="shared" si="57"/>
        <v>0</v>
      </c>
      <c r="N109" s="463">
        <f t="shared" si="58"/>
        <v>10.266059739708281</v>
      </c>
      <c r="O109" s="463">
        <f t="shared" si="78"/>
        <v>0.55015258140650802</v>
      </c>
      <c r="P109">
        <f t="shared" si="59"/>
        <v>0.5</v>
      </c>
      <c r="Q109" s="463">
        <f t="shared" si="79"/>
        <v>1.050152581406508</v>
      </c>
      <c r="R109" s="9">
        <f t="shared" si="87"/>
        <v>2.3220642926627293</v>
      </c>
      <c r="S109" s="9">
        <f t="shared" si="80"/>
        <v>1.6175947737777786E-2</v>
      </c>
      <c r="T109" s="9">
        <f t="shared" si="88"/>
        <v>1.6175947737777786E-2</v>
      </c>
      <c r="U109" s="463">
        <f t="shared" si="60"/>
        <v>7.2191644520293137</v>
      </c>
      <c r="V109" s="465">
        <f t="shared" si="81"/>
        <v>0.52116335385443702</v>
      </c>
      <c r="W109" s="463">
        <f t="shared" si="89"/>
        <v>0.52116335385443702</v>
      </c>
      <c r="X109" s="463">
        <f t="shared" si="61"/>
        <v>7.2191644520293137</v>
      </c>
      <c r="Y109" s="463">
        <f t="shared" si="82"/>
        <v>9.3809403693798657E-2</v>
      </c>
      <c r="Z109" s="463">
        <f t="shared" si="62"/>
        <v>0.78308121299454991</v>
      </c>
      <c r="AA109" s="463">
        <f t="shared" si="63"/>
        <v>2.9999999999999992E-2</v>
      </c>
      <c r="AB109" s="463">
        <f t="shared" si="64"/>
        <v>0</v>
      </c>
      <c r="AC109" s="463">
        <f t="shared" si="94"/>
        <v>0.92423092711801003</v>
      </c>
      <c r="AD109" s="463">
        <f t="shared" si="66"/>
        <v>7.2990168648808815</v>
      </c>
      <c r="AE109" s="463">
        <f t="shared" si="83"/>
        <v>9.5896164948867949E-2</v>
      </c>
      <c r="AF109" s="463">
        <f t="shared" si="67"/>
        <v>0.24</v>
      </c>
      <c r="AG109" s="463">
        <f t="shared" si="95"/>
        <v>0.34246436887012383</v>
      </c>
      <c r="AH109" s="463">
        <f t="shared" si="69"/>
        <v>0</v>
      </c>
      <c r="AI109">
        <f t="shared" si="70"/>
        <v>0</v>
      </c>
      <c r="AJ109" s="464">
        <f t="shared" si="71"/>
        <v>0.43167599999999995</v>
      </c>
      <c r="AK109">
        <f t="shared" si="84"/>
        <v>7.2000000000000008E-2</v>
      </c>
      <c r="AL109" s="464">
        <f t="shared" si="85"/>
        <v>0.98399999999999999</v>
      </c>
      <c r="AM109" s="464">
        <f t="shared" si="86"/>
        <v>0.82265384615384629</v>
      </c>
      <c r="AN109" s="464">
        <f t="shared" si="90"/>
        <v>1.056</v>
      </c>
      <c r="AO109" s="464">
        <f t="shared" si="96"/>
        <v>4.3418631789868574</v>
      </c>
      <c r="AP109" s="100">
        <f t="shared" si="73"/>
        <v>118</v>
      </c>
      <c r="AQ109" s="10">
        <f t="shared" si="91"/>
        <v>0.9645104049736869</v>
      </c>
      <c r="AR109" s="77">
        <f t="shared" si="74"/>
        <v>46.211546355900502</v>
      </c>
      <c r="AS109" s="77">
        <f t="shared" si="92"/>
        <v>17.12321844350619</v>
      </c>
      <c r="AT109" s="10"/>
      <c r="AU109">
        <f t="shared" si="93"/>
        <v>96.451040497368695</v>
      </c>
      <c r="BE109" s="31"/>
      <c r="BF109" s="32"/>
    </row>
    <row r="110" spans="7:58" x14ac:dyDescent="0.2">
      <c r="G110">
        <v>101</v>
      </c>
      <c r="H110">
        <f t="shared" si="55"/>
        <v>10.1</v>
      </c>
      <c r="I110" s="463">
        <f t="shared" ref="I110:I173" si="97">(Vout+Rdcr*H110+RdsonBot*H110)/(Vin-RdsonTop*H110+RdsonBot*H110)</f>
        <v>0.49452833333333329</v>
      </c>
      <c r="J110" s="464">
        <f t="shared" si="56"/>
        <v>8.0443275555555545</v>
      </c>
      <c r="K110" s="464">
        <f t="shared" si="76"/>
        <v>14.122163777777777</v>
      </c>
      <c r="L110" s="464">
        <f t="shared" ref="L110:L173" si="98">H110-J110/2</f>
        <v>6.0778362222222224</v>
      </c>
      <c r="M110" s="77">
        <f t="shared" si="57"/>
        <v>0</v>
      </c>
      <c r="N110" s="463">
        <f t="shared" ref="N110:N173" si="99">SQRT(H110^2+(J110^2)/12)</f>
        <v>10.363522590562013</v>
      </c>
      <c r="O110" s="463">
        <f t="shared" ref="O110:O173" si="100">(N110^2*Rdcr*(1+Ltc*Ta-Ltc*25))/(1-N110^2*Rdcr*Ltc*ThetaCa)</f>
        <v>0.56111926993476113</v>
      </c>
      <c r="P110">
        <f t="shared" si="59"/>
        <v>0.5</v>
      </c>
      <c r="Q110" s="463">
        <f t="shared" si="79"/>
        <v>1.0611192699347611</v>
      </c>
      <c r="R110" s="9">
        <f t="shared" ref="R110:R173" si="101">J110/(2*SQRT(3))</f>
        <v>2.3221973398247617</v>
      </c>
      <c r="S110" s="9">
        <f t="shared" ref="S110:S173" si="102">RCoutEsr*R110^2</f>
        <v>1.61778014552676E-2</v>
      </c>
      <c r="T110" s="9">
        <f t="shared" ref="T110:T173" si="103">S110</f>
        <v>1.61778014552676E-2</v>
      </c>
      <c r="U110" s="463">
        <f t="shared" ref="U110:U173" si="104">SQRT(I110)*SQRT(H110^2+(J110^2)/12)</f>
        <v>7.2879097835769766</v>
      </c>
      <c r="V110" s="465">
        <f t="shared" ref="V110:V173" si="105">RCinEsr*U110^2</f>
        <v>0.53113629013557018</v>
      </c>
      <c r="W110" s="463">
        <f t="shared" ref="W110:W173" si="106">V110</f>
        <v>0.53113629013557018</v>
      </c>
      <c r="X110" s="463">
        <f t="shared" ref="X110:X173" si="107">SQRT(I110)*SQRT(H110^2+(J110^2)/12)</f>
        <v>7.2879097835769766</v>
      </c>
      <c r="Y110" s="463">
        <f t="shared" ref="Y110:Y173" si="108">RdsonTop*X110^2</f>
        <v>9.5604532224402627E-2</v>
      </c>
      <c r="Z110" s="463">
        <f t="shared" si="62"/>
        <v>0.78999554013468687</v>
      </c>
      <c r="AA110" s="463">
        <f t="shared" si="63"/>
        <v>2.9999999999999992E-2</v>
      </c>
      <c r="AB110" s="463">
        <f t="shared" si="64"/>
        <v>0</v>
      </c>
      <c r="AC110" s="463">
        <f t="shared" ref="AC110:AC173" si="109">(AB110+AA110+Z110+Y110*(1+RdsonTopTc*Ta-RdsonTopTc*25))/(1-Y110*RdsonTopTc*ThetaJaTop)</f>
        <v>0.9334484528980721</v>
      </c>
      <c r="AD110" s="463">
        <f t="shared" ref="AD110:AD173" si="110">SQRT(1-I110)*SQRT(H110^2+(J110^2)/12)</f>
        <v>7.3681050122492273</v>
      </c>
      <c r="AE110" s="463">
        <f t="shared" ref="AE110:AE173" si="111">RdsonBot*AD110^2</f>
        <v>9.7720148648757929E-2</v>
      </c>
      <c r="AF110" s="463">
        <f t="shared" si="67"/>
        <v>0.2424</v>
      </c>
      <c r="AG110" s="463">
        <f t="shared" ref="AG110:AG173" si="112">(AF110+AE110*(1+RdsonBotTc*Ta-RdsonBotTc*25))/(1-AE110*RdsonBotTc*ThetaJaBot)</f>
        <v>0.34689997201507045</v>
      </c>
      <c r="AH110" s="463">
        <f t="shared" ref="AH110:AH173" si="113">IF(RDSON_sense=1, 0, AD110^2*Rshunt)</f>
        <v>0</v>
      </c>
      <c r="AI110">
        <f t="shared" si="70"/>
        <v>0</v>
      </c>
      <c r="AJ110" s="464">
        <f t="shared" si="71"/>
        <v>0.43167275999999993</v>
      </c>
      <c r="AK110">
        <f t="shared" si="84"/>
        <v>7.2000000000000008E-2</v>
      </c>
      <c r="AL110" s="464">
        <f t="shared" si="85"/>
        <v>0.98399999999999999</v>
      </c>
      <c r="AM110" s="464">
        <f t="shared" si="86"/>
        <v>0.82265384615384629</v>
      </c>
      <c r="AN110" s="464">
        <f t="shared" ref="AN110:AN173" si="114">SUM(AK110:AL110)</f>
        <v>1.056</v>
      </c>
      <c r="AO110" s="464">
        <f t="shared" ref="AO110:AO173" si="115">SUM(Q110,T110,W110,AC110,AJ110,AI110,AG110,AN110, AH110)</f>
        <v>4.3764545464387421</v>
      </c>
      <c r="AP110" s="100">
        <f t="shared" si="73"/>
        <v>119.18</v>
      </c>
      <c r="AQ110" s="10">
        <f t="shared" ref="AQ110:AQ173" si="116">AP110/(AP110+AO110)</f>
        <v>0.96457931265101293</v>
      </c>
      <c r="AR110" s="77">
        <f t="shared" ref="AR110:AR173" si="117">ThetaJaTop*AC110</f>
        <v>46.672422644903605</v>
      </c>
      <c r="AS110" s="77">
        <f t="shared" ref="AS110:AS173" si="118">AG110*ThetaJaBot</f>
        <v>17.344998600753524</v>
      </c>
      <c r="AT110" s="10"/>
      <c r="AU110">
        <f t="shared" ref="AU110:AU173" si="119">AQ110*100</f>
        <v>96.457931265101294</v>
      </c>
    </row>
    <row r="111" spans="7:58" x14ac:dyDescent="0.2">
      <c r="G111">
        <v>102</v>
      </c>
      <c r="H111">
        <f t="shared" si="55"/>
        <v>10.199999999999999</v>
      </c>
      <c r="I111" s="463">
        <f t="shared" si="97"/>
        <v>0.4945566666666667</v>
      </c>
      <c r="J111" s="464">
        <f t="shared" si="56"/>
        <v>8.0447884444444444</v>
      </c>
      <c r="K111" s="464">
        <f t="shared" si="76"/>
        <v>14.222394222222221</v>
      </c>
      <c r="L111" s="464">
        <f t="shared" si="98"/>
        <v>6.1776057777777771</v>
      </c>
      <c r="M111" s="77">
        <f t="shared" si="57"/>
        <v>0</v>
      </c>
      <c r="N111" s="463">
        <f t="shared" si="99"/>
        <v>10.461033334538335</v>
      </c>
      <c r="O111" s="463">
        <f t="shared" si="100"/>
        <v>0.57221376991967909</v>
      </c>
      <c r="P111">
        <f t="shared" si="59"/>
        <v>0.5</v>
      </c>
      <c r="Q111" s="463">
        <f t="shared" si="79"/>
        <v>1.0722137699196792</v>
      </c>
      <c r="R111" s="9">
        <f t="shared" si="101"/>
        <v>2.3223303869867955</v>
      </c>
      <c r="S111" s="9">
        <f t="shared" si="102"/>
        <v>1.6179655278966719E-2</v>
      </c>
      <c r="T111" s="9">
        <f t="shared" si="103"/>
        <v>1.6179655278966719E-2</v>
      </c>
      <c r="U111" s="463">
        <f t="shared" si="104"/>
        <v>7.3566927166714784</v>
      </c>
      <c r="V111" s="465">
        <f t="shared" si="105"/>
        <v>0.54120927727527179</v>
      </c>
      <c r="W111" s="463">
        <f t="shared" si="106"/>
        <v>0.54120927727527179</v>
      </c>
      <c r="X111" s="463">
        <f t="shared" si="107"/>
        <v>7.3566927166714784</v>
      </c>
      <c r="Y111" s="463">
        <f t="shared" si="108"/>
        <v>9.7417669909548907E-2</v>
      </c>
      <c r="Z111" s="463">
        <f t="shared" si="62"/>
        <v>0.79690986727482405</v>
      </c>
      <c r="AA111" s="463">
        <f t="shared" si="63"/>
        <v>2.9999999999999992E-2</v>
      </c>
      <c r="AB111" s="463">
        <f t="shared" si="64"/>
        <v>0</v>
      </c>
      <c r="AC111" s="463">
        <f t="shared" si="109"/>
        <v>0.94269455865243923</v>
      </c>
      <c r="AD111" s="463">
        <f t="shared" si="110"/>
        <v>7.4372233191423707</v>
      </c>
      <c r="AE111" s="463">
        <f t="shared" si="111"/>
        <v>9.9562123257831106E-2</v>
      </c>
      <c r="AF111" s="463">
        <f t="shared" si="67"/>
        <v>0.24479999999999999</v>
      </c>
      <c r="AG111" s="463">
        <f t="shared" si="112"/>
        <v>0.35135852338032741</v>
      </c>
      <c r="AH111" s="463">
        <f t="shared" si="113"/>
        <v>0</v>
      </c>
      <c r="AI111">
        <f t="shared" si="70"/>
        <v>0</v>
      </c>
      <c r="AJ111" s="464">
        <f t="shared" si="71"/>
        <v>0.43166951999999992</v>
      </c>
      <c r="AK111">
        <f t="shared" si="84"/>
        <v>7.2000000000000008E-2</v>
      </c>
      <c r="AL111" s="464">
        <f t="shared" si="85"/>
        <v>0.98399999999999999</v>
      </c>
      <c r="AM111" s="464">
        <f t="shared" si="86"/>
        <v>0.82265384615384629</v>
      </c>
      <c r="AN111" s="464">
        <f t="shared" si="114"/>
        <v>1.056</v>
      </c>
      <c r="AO111" s="464">
        <f t="shared" si="115"/>
        <v>4.4113253045066845</v>
      </c>
      <c r="AP111" s="100">
        <f t="shared" si="73"/>
        <v>120.36</v>
      </c>
      <c r="AQ111" s="10">
        <f t="shared" si="116"/>
        <v>0.9646447186984608</v>
      </c>
      <c r="AR111" s="77">
        <f t="shared" si="117"/>
        <v>47.134727932621963</v>
      </c>
      <c r="AS111" s="77">
        <f t="shared" si="118"/>
        <v>17.567926169016371</v>
      </c>
      <c r="AT111" s="10"/>
      <c r="AU111">
        <f t="shared" si="119"/>
        <v>96.464471869846079</v>
      </c>
    </row>
    <row r="112" spans="7:58" x14ac:dyDescent="0.2">
      <c r="G112">
        <v>103</v>
      </c>
      <c r="H112">
        <f t="shared" si="55"/>
        <v>10.3</v>
      </c>
      <c r="I112" s="463">
        <f t="shared" si="97"/>
        <v>0.49458500000000005</v>
      </c>
      <c r="J112" s="464">
        <f t="shared" si="56"/>
        <v>8.0452493333333326</v>
      </c>
      <c r="K112" s="464">
        <f t="shared" si="76"/>
        <v>14.322624666666666</v>
      </c>
      <c r="L112" s="464">
        <f t="shared" si="98"/>
        <v>6.2773753333333344</v>
      </c>
      <c r="M112" s="77">
        <f t="shared" si="57"/>
        <v>0</v>
      </c>
      <c r="N112" s="463">
        <f t="shared" si="99"/>
        <v>10.558590644728982</v>
      </c>
      <c r="O112" s="463">
        <f t="shared" si="100"/>
        <v>0.58343668603788457</v>
      </c>
      <c r="P112">
        <f t="shared" si="59"/>
        <v>0.5</v>
      </c>
      <c r="Q112" s="463">
        <f t="shared" si="79"/>
        <v>1.0834366860378846</v>
      </c>
      <c r="R112" s="9">
        <f t="shared" si="101"/>
        <v>2.3224634341488284</v>
      </c>
      <c r="S112" s="9">
        <f t="shared" si="102"/>
        <v>1.6181509208875108E-2</v>
      </c>
      <c r="T112" s="9">
        <f t="shared" si="103"/>
        <v>1.6181509208875108E-2</v>
      </c>
      <c r="U112" s="463">
        <f t="shared" si="104"/>
        <v>7.4255123208676439</v>
      </c>
      <c r="V112" s="465">
        <f t="shared" si="105"/>
        <v>0.55138233227357181</v>
      </c>
      <c r="W112" s="463">
        <f t="shared" si="106"/>
        <v>0.55138233227357181</v>
      </c>
      <c r="X112" s="463">
        <f t="shared" si="107"/>
        <v>7.4255123208676439</v>
      </c>
      <c r="Y112" s="463">
        <f t="shared" si="108"/>
        <v>9.9248819809242925E-2</v>
      </c>
      <c r="Z112" s="463">
        <f t="shared" si="62"/>
        <v>0.803824194414961</v>
      </c>
      <c r="AA112" s="463">
        <f t="shared" si="63"/>
        <v>2.9999999999999992E-2</v>
      </c>
      <c r="AB112" s="463">
        <f t="shared" si="64"/>
        <v>0</v>
      </c>
      <c r="AC112" s="463">
        <f t="shared" si="109"/>
        <v>0.95196938175086554</v>
      </c>
      <c r="AD112" s="463">
        <f t="shared" si="110"/>
        <v>7.5063708392006054</v>
      </c>
      <c r="AE112" s="463">
        <f t="shared" si="111"/>
        <v>0.10142208571608215</v>
      </c>
      <c r="AF112" s="463">
        <f t="shared" si="67"/>
        <v>0.24720000000000003</v>
      </c>
      <c r="AG112" s="463">
        <f t="shared" si="112"/>
        <v>0.35584009463187677</v>
      </c>
      <c r="AH112" s="463">
        <f t="shared" si="113"/>
        <v>0</v>
      </c>
      <c r="AI112">
        <f t="shared" si="70"/>
        <v>0</v>
      </c>
      <c r="AJ112" s="464">
        <f t="shared" si="71"/>
        <v>0.43166627999999996</v>
      </c>
      <c r="AK112">
        <f t="shared" si="84"/>
        <v>7.2000000000000008E-2</v>
      </c>
      <c r="AL112" s="464">
        <f t="shared" si="85"/>
        <v>0.98399999999999999</v>
      </c>
      <c r="AM112" s="464">
        <f t="shared" si="86"/>
        <v>0.82265384615384629</v>
      </c>
      <c r="AN112" s="464">
        <f t="shared" si="114"/>
        <v>1.056</v>
      </c>
      <c r="AO112" s="464">
        <f t="shared" si="115"/>
        <v>4.446476283903074</v>
      </c>
      <c r="AP112" s="100">
        <f t="shared" si="73"/>
        <v>121.54000000000002</v>
      </c>
      <c r="AQ112" s="10">
        <f t="shared" si="116"/>
        <v>0.96470671761718929</v>
      </c>
      <c r="AR112" s="77">
        <f t="shared" si="117"/>
        <v>47.598469087543279</v>
      </c>
      <c r="AS112" s="77">
        <f t="shared" si="118"/>
        <v>17.792004731593838</v>
      </c>
      <c r="AT112" s="10"/>
      <c r="AU112">
        <f t="shared" si="119"/>
        <v>96.470671761718933</v>
      </c>
    </row>
    <row r="113" spans="7:47" x14ac:dyDescent="0.2">
      <c r="G113">
        <v>104</v>
      </c>
      <c r="H113">
        <f t="shared" si="55"/>
        <v>10.4</v>
      </c>
      <c r="I113" s="463">
        <f t="shared" si="97"/>
        <v>0.49461333333333335</v>
      </c>
      <c r="J113" s="464">
        <f t="shared" si="56"/>
        <v>8.0457102222222225</v>
      </c>
      <c r="K113" s="464">
        <f t="shared" si="76"/>
        <v>14.422855111111112</v>
      </c>
      <c r="L113" s="464">
        <f t="shared" si="98"/>
        <v>6.3771448888888891</v>
      </c>
      <c r="M113" s="77">
        <f t="shared" si="57"/>
        <v>0</v>
      </c>
      <c r="N113" s="463">
        <f t="shared" si="99"/>
        <v>10.656193242194776</v>
      </c>
      <c r="O113" s="463">
        <f t="shared" si="100"/>
        <v>0.59478863149149197</v>
      </c>
      <c r="P113">
        <f t="shared" si="59"/>
        <v>0.5</v>
      </c>
      <c r="Q113" s="463">
        <f t="shared" si="79"/>
        <v>1.0947886314914919</v>
      </c>
      <c r="R113" s="9">
        <f t="shared" si="101"/>
        <v>2.3225964813108622</v>
      </c>
      <c r="S113" s="9">
        <f t="shared" si="102"/>
        <v>1.6183363244992793E-2</v>
      </c>
      <c r="T113" s="9">
        <f t="shared" si="103"/>
        <v>1.6183363244992793E-2</v>
      </c>
      <c r="U113" s="463">
        <f t="shared" si="104"/>
        <v>7.4943676993492936</v>
      </c>
      <c r="V113" s="465">
        <f t="shared" si="105"/>
        <v>0.56165547213050027</v>
      </c>
      <c r="W113" s="463">
        <f t="shared" si="106"/>
        <v>0.56165547213050027</v>
      </c>
      <c r="X113" s="463">
        <f t="shared" si="107"/>
        <v>7.4943676993492936</v>
      </c>
      <c r="Y113" s="463">
        <f t="shared" si="108"/>
        <v>0.10109798498349004</v>
      </c>
      <c r="Z113" s="463">
        <f t="shared" si="62"/>
        <v>0.81073852155509818</v>
      </c>
      <c r="AA113" s="463">
        <f t="shared" si="63"/>
        <v>2.9999999999999992E-2</v>
      </c>
      <c r="AB113" s="463">
        <f t="shared" si="64"/>
        <v>0</v>
      </c>
      <c r="AC113" s="463">
        <f t="shared" si="109"/>
        <v>0.96127306042414717</v>
      </c>
      <c r="AD113" s="463">
        <f t="shared" si="110"/>
        <v>7.5755466602712964</v>
      </c>
      <c r="AE113" s="463">
        <f t="shared" si="111"/>
        <v>0.10330003296350566</v>
      </c>
      <c r="AF113" s="463">
        <f t="shared" si="67"/>
        <v>0.24960000000000002</v>
      </c>
      <c r="AG113" s="463">
        <f t="shared" si="112"/>
        <v>0.36034475804026284</v>
      </c>
      <c r="AH113" s="463">
        <f t="shared" si="113"/>
        <v>0</v>
      </c>
      <c r="AI113">
        <f t="shared" si="70"/>
        <v>0</v>
      </c>
      <c r="AJ113" s="464">
        <f t="shared" si="71"/>
        <v>0.43166304</v>
      </c>
      <c r="AK113">
        <f t="shared" si="84"/>
        <v>7.2000000000000008E-2</v>
      </c>
      <c r="AL113" s="464">
        <f t="shared" si="85"/>
        <v>0.98399999999999999</v>
      </c>
      <c r="AM113" s="464">
        <f t="shared" si="86"/>
        <v>0.82265384615384629</v>
      </c>
      <c r="AN113" s="464">
        <f t="shared" si="114"/>
        <v>1.056</v>
      </c>
      <c r="AO113" s="464">
        <f t="shared" si="115"/>
        <v>4.4819083253313954</v>
      </c>
      <c r="AP113" s="100">
        <f t="shared" si="73"/>
        <v>122.72000000000001</v>
      </c>
      <c r="AQ113" s="10">
        <f t="shared" si="116"/>
        <v>0.9647654002653131</v>
      </c>
      <c r="AR113" s="77">
        <f t="shared" si="117"/>
        <v>48.063653021207358</v>
      </c>
      <c r="AS113" s="77">
        <f t="shared" si="118"/>
        <v>18.017237902013143</v>
      </c>
      <c r="AT113" s="10"/>
      <c r="AU113">
        <f t="shared" si="119"/>
        <v>96.47654002653131</v>
      </c>
    </row>
    <row r="114" spans="7:47" x14ac:dyDescent="0.2">
      <c r="G114">
        <v>105</v>
      </c>
      <c r="H114">
        <f t="shared" si="55"/>
        <v>10.5</v>
      </c>
      <c r="I114" s="463">
        <f t="shared" si="97"/>
        <v>0.4946416666666667</v>
      </c>
      <c r="J114" s="464">
        <f t="shared" si="56"/>
        <v>8.0461711111111107</v>
      </c>
      <c r="K114" s="464">
        <f t="shared" si="76"/>
        <v>14.523085555555555</v>
      </c>
      <c r="L114" s="464">
        <f t="shared" si="98"/>
        <v>6.4769144444444446</v>
      </c>
      <c r="M114" s="77">
        <f t="shared" si="57"/>
        <v>0</v>
      </c>
      <c r="N114" s="463">
        <f t="shared" si="99"/>
        <v>10.753839893844427</v>
      </c>
      <c r="O114" s="463">
        <f t="shared" si="100"/>
        <v>0.60627022809620168</v>
      </c>
      <c r="P114">
        <f t="shared" si="59"/>
        <v>0.5</v>
      </c>
      <c r="Q114" s="463">
        <f t="shared" si="79"/>
        <v>1.1062702280962018</v>
      </c>
      <c r="R114" s="9">
        <f t="shared" si="101"/>
        <v>2.322729528472895</v>
      </c>
      <c r="S114" s="9">
        <f t="shared" si="102"/>
        <v>1.6185217387319751E-2</v>
      </c>
      <c r="T114" s="9">
        <f t="shared" si="103"/>
        <v>1.6185217387319751E-2</v>
      </c>
      <c r="U114" s="463">
        <f t="shared" si="104"/>
        <v>7.5632579874422321</v>
      </c>
      <c r="V114" s="465">
        <f t="shared" si="105"/>
        <v>0.57202871384608722</v>
      </c>
      <c r="W114" s="463">
        <f t="shared" si="106"/>
        <v>0.57202871384608722</v>
      </c>
      <c r="X114" s="463">
        <f t="shared" si="107"/>
        <v>7.5632579874422321</v>
      </c>
      <c r="Y114" s="463">
        <f t="shared" si="108"/>
        <v>0.1029651684922957</v>
      </c>
      <c r="Z114" s="463">
        <f t="shared" si="62"/>
        <v>0.81765284869523525</v>
      </c>
      <c r="AA114" s="463">
        <f t="shared" si="63"/>
        <v>2.9999999999999992E-2</v>
      </c>
      <c r="AB114" s="463">
        <f t="shared" si="64"/>
        <v>0</v>
      </c>
      <c r="AC114" s="463">
        <f t="shared" si="109"/>
        <v>0.97060573377099468</v>
      </c>
      <c r="AD114" s="463">
        <f t="shared" si="110"/>
        <v>7.6447499028961827</v>
      </c>
      <c r="AE114" s="463">
        <f t="shared" si="111"/>
        <v>0.10519596194009614</v>
      </c>
      <c r="AF114" s="463">
        <f t="shared" si="67"/>
        <v>0.252</v>
      </c>
      <c r="AG114" s="463">
        <f t="shared" si="112"/>
        <v>0.36487258648425253</v>
      </c>
      <c r="AH114" s="463">
        <f t="shared" si="113"/>
        <v>0</v>
      </c>
      <c r="AI114">
        <f t="shared" si="70"/>
        <v>0</v>
      </c>
      <c r="AJ114" s="464">
        <f t="shared" si="71"/>
        <v>0.43165979999999998</v>
      </c>
      <c r="AK114">
        <f t="shared" si="84"/>
        <v>7.2000000000000008E-2</v>
      </c>
      <c r="AL114" s="464">
        <f t="shared" si="85"/>
        <v>0.98399999999999999</v>
      </c>
      <c r="AM114" s="464">
        <f t="shared" si="86"/>
        <v>0.82265384615384629</v>
      </c>
      <c r="AN114" s="464">
        <f t="shared" si="114"/>
        <v>1.056</v>
      </c>
      <c r="AO114" s="464">
        <f t="shared" si="115"/>
        <v>4.517622279584856</v>
      </c>
      <c r="AP114" s="100">
        <f t="shared" si="73"/>
        <v>123.9</v>
      </c>
      <c r="AQ114" s="10">
        <f t="shared" si="116"/>
        <v>0.96482085402773388</v>
      </c>
      <c r="AR114" s="77">
        <f t="shared" si="117"/>
        <v>48.530286688549737</v>
      </c>
      <c r="AS114" s="77">
        <f t="shared" si="118"/>
        <v>18.243629324212627</v>
      </c>
      <c r="AT114" s="10"/>
      <c r="AU114">
        <f t="shared" si="119"/>
        <v>96.482085402773393</v>
      </c>
    </row>
    <row r="115" spans="7:47" x14ac:dyDescent="0.2">
      <c r="G115">
        <v>106</v>
      </c>
      <c r="H115">
        <f t="shared" si="55"/>
        <v>10.600000000000001</v>
      </c>
      <c r="I115" s="463">
        <f t="shared" si="97"/>
        <v>0.49467000000000011</v>
      </c>
      <c r="J115" s="464">
        <f t="shared" si="56"/>
        <v>8.0466320000000007</v>
      </c>
      <c r="K115" s="464">
        <f t="shared" si="76"/>
        <v>14.623316000000003</v>
      </c>
      <c r="L115" s="464">
        <f t="shared" si="98"/>
        <v>6.5766840000000011</v>
      </c>
      <c r="M115" s="77">
        <f t="shared" si="57"/>
        <v>0</v>
      </c>
      <c r="N115" s="463">
        <f t="shared" si="99"/>
        <v>10.851529410423462</v>
      </c>
      <c r="O115" s="463">
        <f t="shared" si="100"/>
        <v>0.6178821063709411</v>
      </c>
      <c r="P115">
        <f t="shared" si="59"/>
        <v>0.5</v>
      </c>
      <c r="Q115" s="463">
        <f t="shared" si="79"/>
        <v>1.1178821063709412</v>
      </c>
      <c r="R115" s="9">
        <f t="shared" si="101"/>
        <v>2.3228625756349288</v>
      </c>
      <c r="S115" s="9">
        <f t="shared" si="102"/>
        <v>1.6187071635856008E-2</v>
      </c>
      <c r="T115" s="9">
        <f t="shared" si="103"/>
        <v>1.6187071635856008E-2</v>
      </c>
      <c r="U115" s="463">
        <f t="shared" si="104"/>
        <v>7.6321823512044258</v>
      </c>
      <c r="V115" s="465">
        <f t="shared" si="105"/>
        <v>0.58250207442036317</v>
      </c>
      <c r="W115" s="463">
        <f t="shared" si="106"/>
        <v>0.58250207442036317</v>
      </c>
      <c r="X115" s="463">
        <f t="shared" si="107"/>
        <v>7.6321823512044258</v>
      </c>
      <c r="Y115" s="463">
        <f t="shared" si="108"/>
        <v>0.10485037339566537</v>
      </c>
      <c r="Z115" s="463">
        <f t="shared" si="62"/>
        <v>0.82456717583537231</v>
      </c>
      <c r="AA115" s="463">
        <f t="shared" si="63"/>
        <v>2.9999999999999992E-2</v>
      </c>
      <c r="AB115" s="463">
        <f t="shared" si="64"/>
        <v>0</v>
      </c>
      <c r="AC115" s="463">
        <f t="shared" si="109"/>
        <v>0.97996754176497569</v>
      </c>
      <c r="AD115" s="463">
        <f t="shared" si="110"/>
        <v>7.7139797188772166</v>
      </c>
      <c r="AE115" s="463">
        <f t="shared" si="111"/>
        <v>0.10710986958584823</v>
      </c>
      <c r="AF115" s="463">
        <f t="shared" si="67"/>
        <v>0.25440000000000002</v>
      </c>
      <c r="AG115" s="463">
        <f t="shared" si="112"/>
        <v>0.36942365345453682</v>
      </c>
      <c r="AH115" s="463">
        <f t="shared" si="113"/>
        <v>0</v>
      </c>
      <c r="AI115">
        <f t="shared" si="70"/>
        <v>0</v>
      </c>
      <c r="AJ115" s="464">
        <f t="shared" si="71"/>
        <v>0.43165655999999997</v>
      </c>
      <c r="AK115">
        <f t="shared" si="84"/>
        <v>7.2000000000000008E-2</v>
      </c>
      <c r="AL115" s="464">
        <f t="shared" si="85"/>
        <v>0.98399999999999999</v>
      </c>
      <c r="AM115" s="464">
        <f t="shared" si="86"/>
        <v>0.82265384615384629</v>
      </c>
      <c r="AN115" s="464">
        <f t="shared" si="114"/>
        <v>1.056</v>
      </c>
      <c r="AO115" s="464">
        <f t="shared" si="115"/>
        <v>4.5536190076466738</v>
      </c>
      <c r="AP115" s="100">
        <f t="shared" si="73"/>
        <v>125.08000000000003</v>
      </c>
      <c r="AQ115" s="10">
        <f t="shared" si="116"/>
        <v>0.96487316297651093</v>
      </c>
      <c r="AR115" s="77">
        <f t="shared" si="117"/>
        <v>48.998377088248787</v>
      </c>
      <c r="AS115" s="77">
        <f t="shared" si="118"/>
        <v>18.47118267272684</v>
      </c>
      <c r="AT115" s="10"/>
      <c r="AU115">
        <f t="shared" si="119"/>
        <v>96.487316297651091</v>
      </c>
    </row>
    <row r="116" spans="7:47" x14ac:dyDescent="0.2">
      <c r="G116">
        <v>107</v>
      </c>
      <c r="H116">
        <f t="shared" si="55"/>
        <v>10.700000000000001</v>
      </c>
      <c r="I116" s="463">
        <f t="shared" si="97"/>
        <v>0.4946983333333333</v>
      </c>
      <c r="J116" s="464">
        <f t="shared" si="56"/>
        <v>8.0470928888888889</v>
      </c>
      <c r="K116" s="464">
        <f t="shared" si="76"/>
        <v>14.723546444444445</v>
      </c>
      <c r="L116" s="464">
        <f t="shared" si="98"/>
        <v>6.6764535555555566</v>
      </c>
      <c r="M116" s="77">
        <f t="shared" si="57"/>
        <v>0</v>
      </c>
      <c r="N116" s="463">
        <f t="shared" si="99"/>
        <v>10.949260644606733</v>
      </c>
      <c r="O116" s="463">
        <f t="shared" si="100"/>
        <v>0.62962490562906714</v>
      </c>
      <c r="P116">
        <f t="shared" si="59"/>
        <v>0.5</v>
      </c>
      <c r="Q116" s="463">
        <f t="shared" si="79"/>
        <v>1.129624905629067</v>
      </c>
      <c r="R116" s="9">
        <f t="shared" si="101"/>
        <v>2.3229956227969617</v>
      </c>
      <c r="S116" s="9">
        <f t="shared" si="102"/>
        <v>1.6188925990601531E-2</v>
      </c>
      <c r="T116" s="9">
        <f t="shared" si="103"/>
        <v>1.6188925990601531E-2</v>
      </c>
      <c r="U116" s="463">
        <f t="shared" si="104"/>
        <v>7.7011399860887968</v>
      </c>
      <c r="V116" s="465">
        <f t="shared" si="105"/>
        <v>0.59307557085335749</v>
      </c>
      <c r="W116" s="463">
        <f t="shared" si="106"/>
        <v>0.59307557085335749</v>
      </c>
      <c r="X116" s="463">
        <f t="shared" si="107"/>
        <v>7.7011399860887968</v>
      </c>
      <c r="Y116" s="463">
        <f t="shared" si="108"/>
        <v>0.10675360275360435</v>
      </c>
      <c r="Z116" s="463">
        <f t="shared" si="62"/>
        <v>0.83148150297550927</v>
      </c>
      <c r="AA116" s="463">
        <f t="shared" si="63"/>
        <v>2.9999999999999992E-2</v>
      </c>
      <c r="AB116" s="463">
        <f t="shared" si="64"/>
        <v>0</v>
      </c>
      <c r="AC116" s="463">
        <f t="shared" si="109"/>
        <v>0.98935862526151763</v>
      </c>
      <c r="AD116" s="463">
        <f t="shared" si="110"/>
        <v>7.7832352899162762</v>
      </c>
      <c r="AE116" s="463">
        <f t="shared" si="111"/>
        <v>0.10904175284075658</v>
      </c>
      <c r="AF116" s="463">
        <f t="shared" si="67"/>
        <v>0.25680000000000003</v>
      </c>
      <c r="AG116" s="463">
        <f t="shared" si="112"/>
        <v>0.37399803305747303</v>
      </c>
      <c r="AH116" s="463">
        <f t="shared" si="113"/>
        <v>0</v>
      </c>
      <c r="AI116">
        <f t="shared" si="70"/>
        <v>0</v>
      </c>
      <c r="AJ116" s="464">
        <f t="shared" si="71"/>
        <v>0.43165332000000001</v>
      </c>
      <c r="AK116">
        <f t="shared" si="84"/>
        <v>7.2000000000000008E-2</v>
      </c>
      <c r="AL116" s="464">
        <f t="shared" si="85"/>
        <v>0.98399999999999999</v>
      </c>
      <c r="AM116" s="464">
        <f t="shared" si="86"/>
        <v>0.82265384615384629</v>
      </c>
      <c r="AN116" s="464">
        <f t="shared" si="114"/>
        <v>1.056</v>
      </c>
      <c r="AO116" s="464">
        <f t="shared" si="115"/>
        <v>4.5898993807920174</v>
      </c>
      <c r="AP116" s="100">
        <f t="shared" si="73"/>
        <v>126.26000000000002</v>
      </c>
      <c r="AQ116" s="10">
        <f t="shared" si="116"/>
        <v>0.96492240802238027</v>
      </c>
      <c r="AR116" s="77">
        <f t="shared" si="117"/>
        <v>49.467931263075883</v>
      </c>
      <c r="AS116" s="77">
        <f t="shared" si="118"/>
        <v>18.699901652873653</v>
      </c>
      <c r="AT116" s="10"/>
      <c r="AU116">
        <f t="shared" si="119"/>
        <v>96.49224080223803</v>
      </c>
    </row>
    <row r="117" spans="7:47" x14ac:dyDescent="0.2">
      <c r="G117">
        <v>108</v>
      </c>
      <c r="H117">
        <f t="shared" si="55"/>
        <v>10.8</v>
      </c>
      <c r="I117" s="463">
        <f t="shared" si="97"/>
        <v>0.4947266666666667</v>
      </c>
      <c r="J117" s="464">
        <f t="shared" si="56"/>
        <v>8.047553777777777</v>
      </c>
      <c r="K117" s="464">
        <f t="shared" si="76"/>
        <v>14.82377688888889</v>
      </c>
      <c r="L117" s="464">
        <f t="shared" si="98"/>
        <v>6.7762231111111122</v>
      </c>
      <c r="M117" s="77">
        <f t="shared" si="57"/>
        <v>0</v>
      </c>
      <c r="N117" s="463">
        <f t="shared" si="99"/>
        <v>11.047032489188464</v>
      </c>
      <c r="O117" s="463">
        <f t="shared" si="100"/>
        <v>0.64149927407116758</v>
      </c>
      <c r="P117">
        <f t="shared" si="59"/>
        <v>0.5</v>
      </c>
      <c r="Q117" s="463">
        <f t="shared" si="79"/>
        <v>1.1414992740711676</v>
      </c>
      <c r="R117" s="9">
        <f t="shared" si="101"/>
        <v>2.3231286699589946</v>
      </c>
      <c r="S117" s="9">
        <f t="shared" si="102"/>
        <v>1.6190780451556343E-2</v>
      </c>
      <c r="T117" s="9">
        <f t="shared" si="103"/>
        <v>1.6190780451556343E-2</v>
      </c>
      <c r="U117" s="463">
        <f t="shared" si="104"/>
        <v>7.77013011567439</v>
      </c>
      <c r="V117" s="465">
        <f t="shared" si="105"/>
        <v>0.60374922014510113</v>
      </c>
      <c r="W117" s="463">
        <f t="shared" si="106"/>
        <v>0.60374922014510113</v>
      </c>
      <c r="X117" s="463">
        <f t="shared" si="107"/>
        <v>7.77013011567439</v>
      </c>
      <c r="Y117" s="463">
        <f t="shared" si="108"/>
        <v>0.1086748596261182</v>
      </c>
      <c r="Z117" s="463">
        <f t="shared" si="62"/>
        <v>0.83839583011564633</v>
      </c>
      <c r="AA117" s="463">
        <f t="shared" si="63"/>
        <v>2.9999999999999992E-2</v>
      </c>
      <c r="AB117" s="463">
        <f t="shared" si="64"/>
        <v>0</v>
      </c>
      <c r="AC117" s="463">
        <f t="shared" si="109"/>
        <v>0.99877912600498231</v>
      </c>
      <c r="AD117" s="463">
        <f t="shared" si="110"/>
        <v>7.852515826324411</v>
      </c>
      <c r="AE117" s="463">
        <f t="shared" si="111"/>
        <v>0.11099160864481562</v>
      </c>
      <c r="AF117" s="463">
        <f t="shared" si="67"/>
        <v>0.25920000000000004</v>
      </c>
      <c r="AG117" s="463">
        <f t="shared" si="112"/>
        <v>0.37859580001886867</v>
      </c>
      <c r="AH117" s="463">
        <f t="shared" si="113"/>
        <v>0</v>
      </c>
      <c r="AI117">
        <f t="shared" si="70"/>
        <v>0</v>
      </c>
      <c r="AJ117" s="464">
        <f t="shared" si="71"/>
        <v>0.43165007999999999</v>
      </c>
      <c r="AK117">
        <f t="shared" si="84"/>
        <v>7.2000000000000008E-2</v>
      </c>
      <c r="AL117" s="464">
        <f t="shared" si="85"/>
        <v>0.98399999999999999</v>
      </c>
      <c r="AM117" s="464">
        <f t="shared" si="86"/>
        <v>0.82265384615384629</v>
      </c>
      <c r="AN117" s="464">
        <f t="shared" si="114"/>
        <v>1.056</v>
      </c>
      <c r="AO117" s="464">
        <f t="shared" si="115"/>
        <v>4.6264642806916765</v>
      </c>
      <c r="AP117" s="100">
        <f t="shared" si="73"/>
        <v>127.44000000000001</v>
      </c>
      <c r="AQ117" s="10">
        <f t="shared" si="116"/>
        <v>0.96496866705798467</v>
      </c>
      <c r="AR117" s="77">
        <f t="shared" si="117"/>
        <v>49.938956300249117</v>
      </c>
      <c r="AS117" s="77">
        <f t="shared" si="118"/>
        <v>18.929790000943434</v>
      </c>
      <c r="AT117" s="10"/>
      <c r="AU117">
        <f t="shared" si="119"/>
        <v>96.496866705798467</v>
      </c>
    </row>
    <row r="118" spans="7:47" x14ac:dyDescent="0.2">
      <c r="G118">
        <v>109</v>
      </c>
      <c r="H118">
        <f t="shared" si="55"/>
        <v>10.9</v>
      </c>
      <c r="I118" s="463">
        <f t="shared" si="97"/>
        <v>0.49475500000000006</v>
      </c>
      <c r="J118" s="464">
        <f t="shared" si="56"/>
        <v>8.048014666666667</v>
      </c>
      <c r="K118" s="464">
        <f t="shared" si="76"/>
        <v>14.924007333333334</v>
      </c>
      <c r="L118" s="464">
        <f t="shared" si="98"/>
        <v>6.8759926666666669</v>
      </c>
      <c r="M118" s="77">
        <f t="shared" si="57"/>
        <v>0</v>
      </c>
      <c r="N118" s="463">
        <f t="shared" si="99"/>
        <v>11.144843875364076</v>
      </c>
      <c r="O118" s="463">
        <f t="shared" si="100"/>
        <v>0.6535058688794767</v>
      </c>
      <c r="P118">
        <f t="shared" si="59"/>
        <v>0.5</v>
      </c>
      <c r="Q118" s="463">
        <f t="shared" si="79"/>
        <v>1.1535058688794768</v>
      </c>
      <c r="R118" s="9">
        <f t="shared" si="101"/>
        <v>2.3232617171210284</v>
      </c>
      <c r="S118" s="9">
        <f t="shared" si="102"/>
        <v>1.6192635018720446E-2</v>
      </c>
      <c r="T118" s="9">
        <f t="shared" si="103"/>
        <v>1.6192635018720446E-2</v>
      </c>
      <c r="U118" s="463">
        <f t="shared" si="104"/>
        <v>7.8391519904618736</v>
      </c>
      <c r="V118" s="465">
        <f t="shared" si="105"/>
        <v>0.61452303929562357</v>
      </c>
      <c r="W118" s="463">
        <f t="shared" si="106"/>
        <v>0.61452303929562357</v>
      </c>
      <c r="X118" s="463">
        <f t="shared" si="107"/>
        <v>7.8391519904618736</v>
      </c>
      <c r="Y118" s="463">
        <f t="shared" si="108"/>
        <v>0.11061414707321224</v>
      </c>
      <c r="Z118" s="463">
        <f t="shared" si="62"/>
        <v>0.84531015725578329</v>
      </c>
      <c r="AA118" s="463">
        <f t="shared" si="63"/>
        <v>2.9999999999999992E-2</v>
      </c>
      <c r="AB118" s="463">
        <f t="shared" si="64"/>
        <v>0</v>
      </c>
      <c r="AC118" s="463">
        <f t="shared" si="109"/>
        <v>1.0082291866358033</v>
      </c>
      <c r="AD118" s="463">
        <f t="shared" si="110"/>
        <v>7.9218205657965903</v>
      </c>
      <c r="AE118" s="463">
        <f t="shared" si="111"/>
        <v>0.11295943393802006</v>
      </c>
      <c r="AF118" s="463">
        <f t="shared" si="67"/>
        <v>0.2616</v>
      </c>
      <c r="AG118" s="463">
        <f t="shared" si="112"/>
        <v>0.38321702968780891</v>
      </c>
      <c r="AH118" s="463">
        <f t="shared" si="113"/>
        <v>0</v>
      </c>
      <c r="AI118">
        <f t="shared" si="70"/>
        <v>0</v>
      </c>
      <c r="AJ118" s="464">
        <f t="shared" si="71"/>
        <v>0.43164683999999998</v>
      </c>
      <c r="AK118">
        <f t="shared" si="84"/>
        <v>7.2000000000000008E-2</v>
      </c>
      <c r="AL118" s="464">
        <f t="shared" si="85"/>
        <v>0.98399999999999999</v>
      </c>
      <c r="AM118" s="464">
        <f t="shared" si="86"/>
        <v>0.82265384615384629</v>
      </c>
      <c r="AN118" s="464">
        <f t="shared" si="114"/>
        <v>1.056</v>
      </c>
      <c r="AO118" s="464">
        <f t="shared" si="115"/>
        <v>4.6633145995174328</v>
      </c>
      <c r="AP118" s="100">
        <f t="shared" si="73"/>
        <v>128.62</v>
      </c>
      <c r="AQ118" s="10">
        <f t="shared" si="116"/>
        <v>0.96501201509334078</v>
      </c>
      <c r="AR118" s="77">
        <f t="shared" si="117"/>
        <v>50.411459331790162</v>
      </c>
      <c r="AS118" s="77">
        <f t="shared" si="118"/>
        <v>19.160851484390445</v>
      </c>
      <c r="AT118" s="10"/>
      <c r="AU118">
        <f t="shared" si="119"/>
        <v>96.501201509334081</v>
      </c>
    </row>
    <row r="119" spans="7:47" x14ac:dyDescent="0.2">
      <c r="G119">
        <v>110</v>
      </c>
      <c r="H119">
        <f t="shared" si="55"/>
        <v>11</v>
      </c>
      <c r="I119" s="463">
        <f t="shared" si="97"/>
        <v>0.49478333333333335</v>
      </c>
      <c r="J119" s="464">
        <f t="shared" si="56"/>
        <v>8.0484755555555552</v>
      </c>
      <c r="K119" s="464">
        <f t="shared" si="76"/>
        <v>15.024237777777778</v>
      </c>
      <c r="L119" s="464">
        <f t="shared" si="98"/>
        <v>6.9757622222222224</v>
      </c>
      <c r="M119" s="77">
        <f t="shared" si="57"/>
        <v>0</v>
      </c>
      <c r="N119" s="463">
        <f t="shared" si="99"/>
        <v>11.242693771098542</v>
      </c>
      <c r="O119" s="463">
        <f t="shared" si="100"/>
        <v>0.66564535631394006</v>
      </c>
      <c r="P119">
        <f t="shared" si="59"/>
        <v>0.5</v>
      </c>
      <c r="Q119" s="463">
        <f t="shared" si="79"/>
        <v>1.1656453563139402</v>
      </c>
      <c r="R119" s="9">
        <f t="shared" si="101"/>
        <v>2.3233947642830612</v>
      </c>
      <c r="S119" s="9">
        <f t="shared" si="102"/>
        <v>1.6194489692093826E-2</v>
      </c>
      <c r="T119" s="9">
        <f t="shared" si="103"/>
        <v>1.6194489692093826E-2</v>
      </c>
      <c r="U119" s="463">
        <f t="shared" si="104"/>
        <v>7.9082048867297008</v>
      </c>
      <c r="V119" s="465">
        <f t="shared" si="105"/>
        <v>0.62539704530495521</v>
      </c>
      <c r="W119" s="463">
        <f t="shared" si="106"/>
        <v>0.62539704530495521</v>
      </c>
      <c r="X119" s="463">
        <f t="shared" si="107"/>
        <v>7.9082048867297008</v>
      </c>
      <c r="Y119" s="463">
        <f t="shared" si="108"/>
        <v>0.11257146815489193</v>
      </c>
      <c r="Z119" s="463">
        <f t="shared" si="62"/>
        <v>0.85222448439592036</v>
      </c>
      <c r="AA119" s="463">
        <f t="shared" si="63"/>
        <v>2.9999999999999992E-2</v>
      </c>
      <c r="AB119" s="463">
        <f t="shared" si="64"/>
        <v>0</v>
      </c>
      <c r="AC119" s="463">
        <f t="shared" si="109"/>
        <v>1.0177089506976951</v>
      </c>
      <c r="AD119" s="463">
        <f t="shared" si="110"/>
        <v>7.991148772248108</v>
      </c>
      <c r="AE119" s="463">
        <f t="shared" si="111"/>
        <v>0.1149452256603644</v>
      </c>
      <c r="AF119" s="463">
        <f t="shared" si="67"/>
        <v>0.26400000000000001</v>
      </c>
      <c r="AG119" s="463">
        <f t="shared" si="112"/>
        <v>0.38786179804052501</v>
      </c>
      <c r="AH119" s="463">
        <f t="shared" si="113"/>
        <v>0</v>
      </c>
      <c r="AI119">
        <f t="shared" si="70"/>
        <v>0</v>
      </c>
      <c r="AJ119" s="464">
        <f t="shared" si="71"/>
        <v>0.43164359999999996</v>
      </c>
      <c r="AK119">
        <f t="shared" si="84"/>
        <v>7.2000000000000008E-2</v>
      </c>
      <c r="AL119" s="464">
        <f t="shared" si="85"/>
        <v>0.98399999999999999</v>
      </c>
      <c r="AM119" s="464">
        <f t="shared" si="86"/>
        <v>0.82265384615384629</v>
      </c>
      <c r="AN119" s="464">
        <f t="shared" si="114"/>
        <v>1.056</v>
      </c>
      <c r="AO119" s="464">
        <f t="shared" si="115"/>
        <v>4.7004512400492091</v>
      </c>
      <c r="AP119" s="100">
        <f t="shared" si="73"/>
        <v>129.80000000000001</v>
      </c>
      <c r="AQ119" s="10">
        <f t="shared" si="116"/>
        <v>0.96505252438402533</v>
      </c>
      <c r="AR119" s="77">
        <f t="shared" si="117"/>
        <v>50.885447534884754</v>
      </c>
      <c r="AS119" s="77">
        <f t="shared" si="118"/>
        <v>19.393089902026251</v>
      </c>
      <c r="AT119" s="10"/>
      <c r="AU119">
        <f t="shared" si="119"/>
        <v>96.505252438402536</v>
      </c>
    </row>
    <row r="120" spans="7:47" x14ac:dyDescent="0.2">
      <c r="G120">
        <v>111</v>
      </c>
      <c r="H120">
        <f t="shared" si="55"/>
        <v>11.100000000000001</v>
      </c>
      <c r="I120" s="463">
        <f t="shared" si="97"/>
        <v>0.49481166666666671</v>
      </c>
      <c r="J120" s="464">
        <f t="shared" si="56"/>
        <v>8.0489364444444451</v>
      </c>
      <c r="K120" s="464">
        <f t="shared" si="76"/>
        <v>15.124468222222223</v>
      </c>
      <c r="L120" s="464">
        <f t="shared" si="98"/>
        <v>7.0755317777777789</v>
      </c>
      <c r="M120" s="77">
        <f t="shared" si="57"/>
        <v>0</v>
      </c>
      <c r="N120" s="463">
        <f t="shared" si="99"/>
        <v>11.340581179576242</v>
      </c>
      <c r="O120" s="463">
        <f t="shared" si="100"/>
        <v>0.67791841180995149</v>
      </c>
      <c r="P120">
        <f t="shared" si="59"/>
        <v>0.5</v>
      </c>
      <c r="Q120" s="463">
        <f t="shared" si="79"/>
        <v>1.1779184118099515</v>
      </c>
      <c r="R120" s="9">
        <f t="shared" si="101"/>
        <v>2.323527811445095</v>
      </c>
      <c r="S120" s="9">
        <f t="shared" si="102"/>
        <v>1.6196344471676501E-2</v>
      </c>
      <c r="T120" s="9">
        <f t="shared" si="103"/>
        <v>1.6196344471676501E-2</v>
      </c>
      <c r="U120" s="463">
        <f t="shared" si="104"/>
        <v>7.9772881054474016</v>
      </c>
      <c r="V120" s="465">
        <f t="shared" si="105"/>
        <v>0.63637125517312598</v>
      </c>
      <c r="W120" s="463">
        <f t="shared" si="106"/>
        <v>0.63637125517312598</v>
      </c>
      <c r="X120" s="463">
        <f t="shared" si="107"/>
        <v>7.9772881054474016</v>
      </c>
      <c r="Y120" s="463">
        <f t="shared" si="108"/>
        <v>0.11454682593116267</v>
      </c>
      <c r="Z120" s="463">
        <f t="shared" si="62"/>
        <v>0.85913881153605742</v>
      </c>
      <c r="AA120" s="463">
        <f t="shared" si="63"/>
        <v>2.9999999999999992E-2</v>
      </c>
      <c r="AB120" s="463">
        <f t="shared" si="64"/>
        <v>0</v>
      </c>
      <c r="AC120" s="463">
        <f t="shared" si="109"/>
        <v>1.0272185626449297</v>
      </c>
      <c r="AD120" s="463">
        <f t="shared" si="110"/>
        <v>8.0604997347091505</v>
      </c>
      <c r="AE120" s="463">
        <f t="shared" si="111"/>
        <v>0.1169489807518433</v>
      </c>
      <c r="AF120" s="463">
        <f t="shared" si="67"/>
        <v>0.26640000000000003</v>
      </c>
      <c r="AG120" s="463">
        <f t="shared" si="112"/>
        <v>0.39253018168430642</v>
      </c>
      <c r="AH120" s="463">
        <f t="shared" si="113"/>
        <v>0</v>
      </c>
      <c r="AI120">
        <f t="shared" si="70"/>
        <v>0</v>
      </c>
      <c r="AJ120" s="464">
        <f t="shared" si="71"/>
        <v>0.43164035999999995</v>
      </c>
      <c r="AK120">
        <f t="shared" si="84"/>
        <v>7.2000000000000008E-2</v>
      </c>
      <c r="AL120" s="464">
        <f t="shared" si="85"/>
        <v>0.98399999999999999</v>
      </c>
      <c r="AM120" s="464">
        <f t="shared" si="86"/>
        <v>0.82265384615384629</v>
      </c>
      <c r="AN120" s="464">
        <f t="shared" si="114"/>
        <v>1.056</v>
      </c>
      <c r="AO120" s="464">
        <f t="shared" si="115"/>
        <v>4.7378751157839893</v>
      </c>
      <c r="AP120" s="100">
        <f t="shared" si="73"/>
        <v>130.98000000000002</v>
      </c>
      <c r="AQ120" s="10">
        <f t="shared" si="116"/>
        <v>0.96509026455253588</v>
      </c>
      <c r="AR120" s="77">
        <f t="shared" si="117"/>
        <v>51.360928132246485</v>
      </c>
      <c r="AS120" s="77">
        <f t="shared" si="118"/>
        <v>19.626509084215321</v>
      </c>
      <c r="AT120" s="10"/>
      <c r="AU120">
        <f t="shared" si="119"/>
        <v>96.50902645525359</v>
      </c>
    </row>
    <row r="121" spans="7:47" x14ac:dyDescent="0.2">
      <c r="G121">
        <v>112</v>
      </c>
      <c r="H121">
        <f t="shared" si="55"/>
        <v>11.200000000000001</v>
      </c>
      <c r="I121" s="463">
        <f t="shared" si="97"/>
        <v>0.49484</v>
      </c>
      <c r="J121" s="464">
        <f t="shared" si="56"/>
        <v>8.0493973333333333</v>
      </c>
      <c r="K121" s="464">
        <f t="shared" si="76"/>
        <v>15.224698666666669</v>
      </c>
      <c r="L121" s="464">
        <f t="shared" si="98"/>
        <v>7.1753013333333344</v>
      </c>
      <c r="M121" s="77">
        <f t="shared" si="57"/>
        <v>0</v>
      </c>
      <c r="N121" s="463">
        <f t="shared" si="99"/>
        <v>11.438505137727693</v>
      </c>
      <c r="O121" s="463">
        <f t="shared" si="100"/>
        <v>0.69032572007779192</v>
      </c>
      <c r="P121">
        <f t="shared" si="59"/>
        <v>0.5</v>
      </c>
      <c r="Q121" s="463">
        <f t="shared" si="79"/>
        <v>1.1903257200777919</v>
      </c>
      <c r="R121" s="9">
        <f t="shared" si="101"/>
        <v>2.3236608586071279</v>
      </c>
      <c r="S121" s="9">
        <f t="shared" si="102"/>
        <v>1.6198199357468444E-2</v>
      </c>
      <c r="T121" s="9">
        <f t="shared" si="103"/>
        <v>1.6198199357468444E-2</v>
      </c>
      <c r="U121" s="463">
        <f t="shared" si="104"/>
        <v>8.0464009712427682</v>
      </c>
      <c r="V121" s="465">
        <f t="shared" si="105"/>
        <v>0.64744568590016571</v>
      </c>
      <c r="W121" s="463">
        <f t="shared" si="106"/>
        <v>0.64744568590016571</v>
      </c>
      <c r="X121" s="463">
        <f t="shared" si="107"/>
        <v>8.0464009712427682</v>
      </c>
      <c r="Y121" s="463">
        <f t="shared" si="108"/>
        <v>0.11654022346202983</v>
      </c>
      <c r="Z121" s="463">
        <f t="shared" si="62"/>
        <v>0.8660531386761946</v>
      </c>
      <c r="AA121" s="463">
        <f t="shared" si="63"/>
        <v>2.9999999999999992E-2</v>
      </c>
      <c r="AB121" s="463">
        <f t="shared" si="64"/>
        <v>0</v>
      </c>
      <c r="AC121" s="463">
        <f t="shared" si="109"/>
        <v>1.0367581678496818</v>
      </c>
      <c r="AD121" s="463">
        <f t="shared" si="110"/>
        <v>8.1298727662741612</v>
      </c>
      <c r="AE121" s="463">
        <f t="shared" si="111"/>
        <v>0.1189706961524513</v>
      </c>
      <c r="AF121" s="463">
        <f t="shared" si="67"/>
        <v>0.26880000000000004</v>
      </c>
      <c r="AG121" s="463">
        <f t="shared" si="112"/>
        <v>0.39722225786145654</v>
      </c>
      <c r="AH121" s="463">
        <f t="shared" si="113"/>
        <v>0</v>
      </c>
      <c r="AI121">
        <f t="shared" si="70"/>
        <v>0</v>
      </c>
      <c r="AJ121" s="464">
        <f t="shared" si="71"/>
        <v>0.43163711999999993</v>
      </c>
      <c r="AK121">
        <f t="shared" si="84"/>
        <v>7.2000000000000008E-2</v>
      </c>
      <c r="AL121" s="464">
        <f t="shared" si="85"/>
        <v>0.98399999999999999</v>
      </c>
      <c r="AM121" s="464">
        <f t="shared" si="86"/>
        <v>0.82265384615384629</v>
      </c>
      <c r="AN121" s="464">
        <f t="shared" si="114"/>
        <v>1.056</v>
      </c>
      <c r="AO121" s="464">
        <f t="shared" si="115"/>
        <v>4.7755871510465644</v>
      </c>
      <c r="AP121" s="100">
        <f t="shared" si="73"/>
        <v>132.16000000000003</v>
      </c>
      <c r="AQ121" s="10">
        <f t="shared" si="116"/>
        <v>0.96512530270324215</v>
      </c>
      <c r="AR121" s="77">
        <f t="shared" si="117"/>
        <v>51.837908392484088</v>
      </c>
      <c r="AS121" s="77">
        <f t="shared" si="118"/>
        <v>19.861112893072828</v>
      </c>
      <c r="AT121" s="10"/>
      <c r="AU121">
        <f t="shared" si="119"/>
        <v>96.51253027032422</v>
      </c>
    </row>
    <row r="122" spans="7:47" x14ac:dyDescent="0.2">
      <c r="G122">
        <v>113</v>
      </c>
      <c r="H122">
        <f t="shared" si="55"/>
        <v>11.299999999999999</v>
      </c>
      <c r="I122" s="463">
        <f t="shared" si="97"/>
        <v>0.4948683333333333</v>
      </c>
      <c r="J122" s="464">
        <f t="shared" si="56"/>
        <v>8.0498582222222215</v>
      </c>
      <c r="K122" s="464">
        <f t="shared" si="76"/>
        <v>15.324929111111111</v>
      </c>
      <c r="L122" s="464">
        <f t="shared" si="98"/>
        <v>7.2750708888888882</v>
      </c>
      <c r="M122" s="77">
        <f t="shared" si="57"/>
        <v>0</v>
      </c>
      <c r="N122" s="463">
        <f t="shared" si="99"/>
        <v>11.536464714828796</v>
      </c>
      <c r="O122" s="463">
        <f t="shared" si="100"/>
        <v>0.70286797520379896</v>
      </c>
      <c r="P122">
        <f t="shared" si="59"/>
        <v>0.5</v>
      </c>
      <c r="Q122" s="463">
        <f t="shared" si="79"/>
        <v>1.202867975203799</v>
      </c>
      <c r="R122" s="9">
        <f t="shared" si="101"/>
        <v>2.3237939057691612</v>
      </c>
      <c r="S122" s="9">
        <f t="shared" si="102"/>
        <v>1.6200054349469681E-2</v>
      </c>
      <c r="T122" s="9">
        <f t="shared" si="103"/>
        <v>1.6200054349469681E-2</v>
      </c>
      <c r="U122" s="463">
        <f t="shared" si="104"/>
        <v>8.1155428314198712</v>
      </c>
      <c r="V122" s="465">
        <f t="shared" si="105"/>
        <v>0.65862035448610456</v>
      </c>
      <c r="W122" s="463">
        <f t="shared" si="106"/>
        <v>0.65862035448610456</v>
      </c>
      <c r="X122" s="463">
        <f t="shared" si="107"/>
        <v>8.1155428314198712</v>
      </c>
      <c r="Y122" s="463">
        <f t="shared" si="108"/>
        <v>0.11855166380749882</v>
      </c>
      <c r="Z122" s="463">
        <f t="shared" si="62"/>
        <v>0.87296746581633133</v>
      </c>
      <c r="AA122" s="463">
        <f t="shared" si="63"/>
        <v>2.9999999999999992E-2</v>
      </c>
      <c r="AB122" s="463">
        <f t="shared" si="64"/>
        <v>0</v>
      </c>
      <c r="AC122" s="463">
        <f t="shared" si="109"/>
        <v>1.0463279126094456</v>
      </c>
      <c r="AD122" s="463">
        <f t="shared" si="110"/>
        <v>8.1992672031029326</v>
      </c>
      <c r="AE122" s="463">
        <f t="shared" si="111"/>
        <v>0.1210103688021829</v>
      </c>
      <c r="AF122" s="463">
        <f t="shared" si="67"/>
        <v>0.2712</v>
      </c>
      <c r="AG122" s="463">
        <f t="shared" si="112"/>
        <v>0.40193810445329153</v>
      </c>
      <c r="AH122" s="463">
        <f t="shared" si="113"/>
        <v>0</v>
      </c>
      <c r="AI122">
        <f t="shared" si="70"/>
        <v>0</v>
      </c>
      <c r="AJ122" s="464">
        <f t="shared" si="71"/>
        <v>0.43163387999999997</v>
      </c>
      <c r="AK122">
        <f t="shared" si="84"/>
        <v>7.2000000000000008E-2</v>
      </c>
      <c r="AL122" s="464">
        <f t="shared" si="85"/>
        <v>0.98399999999999999</v>
      </c>
      <c r="AM122" s="464">
        <f t="shared" si="86"/>
        <v>0.82265384615384629</v>
      </c>
      <c r="AN122" s="464">
        <f t="shared" si="114"/>
        <v>1.056</v>
      </c>
      <c r="AO122" s="464">
        <f t="shared" si="115"/>
        <v>4.8135882811021107</v>
      </c>
      <c r="AP122" s="100">
        <f t="shared" si="73"/>
        <v>133.34</v>
      </c>
      <c r="AQ122" s="10">
        <f t="shared" si="116"/>
        <v>0.96515770353132002</v>
      </c>
      <c r="AR122" s="77">
        <f t="shared" si="117"/>
        <v>52.316395630472279</v>
      </c>
      <c r="AS122" s="77">
        <f t="shared" si="118"/>
        <v>20.096905222664578</v>
      </c>
      <c r="AT122" s="10"/>
      <c r="AU122">
        <f t="shared" si="119"/>
        <v>96.515770353131998</v>
      </c>
    </row>
    <row r="123" spans="7:47" x14ac:dyDescent="0.2">
      <c r="G123">
        <v>114</v>
      </c>
      <c r="H123">
        <f t="shared" si="55"/>
        <v>11.399999999999999</v>
      </c>
      <c r="I123" s="463">
        <f t="shared" si="97"/>
        <v>0.49489666666666671</v>
      </c>
      <c r="J123" s="464">
        <f t="shared" si="56"/>
        <v>8.0503191111111114</v>
      </c>
      <c r="K123" s="464">
        <f t="shared" si="76"/>
        <v>15.425159555555554</v>
      </c>
      <c r="L123" s="464">
        <f t="shared" si="98"/>
        <v>7.3748404444444429</v>
      </c>
      <c r="M123" s="77">
        <f t="shared" si="57"/>
        <v>0</v>
      </c>
      <c r="N123" s="463">
        <f t="shared" si="99"/>
        <v>11.634459011168506</v>
      </c>
      <c r="O123" s="463">
        <f t="shared" si="100"/>
        <v>0.71554588075329628</v>
      </c>
      <c r="P123">
        <f t="shared" si="59"/>
        <v>0.5</v>
      </c>
      <c r="Q123" s="463">
        <f t="shared" si="79"/>
        <v>1.2155458807532962</v>
      </c>
      <c r="R123" s="9">
        <f t="shared" si="101"/>
        <v>2.3239269529311946</v>
      </c>
      <c r="S123" s="9">
        <f t="shared" si="102"/>
        <v>1.6201909447680199E-2</v>
      </c>
      <c r="T123" s="9">
        <f t="shared" si="103"/>
        <v>1.6201909447680199E-2</v>
      </c>
      <c r="U123" s="463">
        <f t="shared" si="104"/>
        <v>8.1847130550250426</v>
      </c>
      <c r="V123" s="465">
        <f t="shared" si="105"/>
        <v>0.6698952779309737</v>
      </c>
      <c r="W123" s="463">
        <f t="shared" si="106"/>
        <v>0.6698952779309737</v>
      </c>
      <c r="X123" s="463">
        <f t="shared" si="107"/>
        <v>8.1847130550250426</v>
      </c>
      <c r="Y123" s="463">
        <f t="shared" si="108"/>
        <v>0.12058115002757526</v>
      </c>
      <c r="Z123" s="463">
        <f t="shared" si="62"/>
        <v>0.8798817929564684</v>
      </c>
      <c r="AA123" s="463">
        <f t="shared" si="63"/>
        <v>2.9999999999999992E-2</v>
      </c>
      <c r="AB123" s="463">
        <f t="shared" si="64"/>
        <v>0</v>
      </c>
      <c r="AC123" s="463">
        <f t="shared" si="109"/>
        <v>1.0559279441545251</v>
      </c>
      <c r="AD123" s="463">
        <f t="shared" si="110"/>
        <v>8.2686824034704998</v>
      </c>
      <c r="AE123" s="463">
        <f t="shared" si="111"/>
        <v>0.12306799564103284</v>
      </c>
      <c r="AF123" s="463">
        <f t="shared" si="67"/>
        <v>0.27359999999999995</v>
      </c>
      <c r="AG123" s="463">
        <f t="shared" si="112"/>
        <v>0.40667779998418446</v>
      </c>
      <c r="AH123" s="463">
        <f t="shared" si="113"/>
        <v>0</v>
      </c>
      <c r="AI123">
        <f t="shared" si="70"/>
        <v>0</v>
      </c>
      <c r="AJ123" s="464">
        <f t="shared" si="71"/>
        <v>0.43163063999999995</v>
      </c>
      <c r="AK123">
        <f t="shared" si="84"/>
        <v>7.2000000000000008E-2</v>
      </c>
      <c r="AL123" s="464">
        <f t="shared" si="85"/>
        <v>0.98399999999999999</v>
      </c>
      <c r="AM123" s="464">
        <f t="shared" si="86"/>
        <v>0.82265384615384629</v>
      </c>
      <c r="AN123" s="464">
        <f t="shared" si="114"/>
        <v>1.056</v>
      </c>
      <c r="AO123" s="464">
        <f t="shared" si="115"/>
        <v>4.8518794522706594</v>
      </c>
      <c r="AP123" s="100">
        <f t="shared" si="73"/>
        <v>134.51999999999998</v>
      </c>
      <c r="AQ123" s="10">
        <f t="shared" si="116"/>
        <v>0.96518752942603292</v>
      </c>
      <c r="AR123" s="77">
        <f t="shared" si="117"/>
        <v>52.796397207726251</v>
      </c>
      <c r="AS123" s="77">
        <f t="shared" si="118"/>
        <v>20.333889999209223</v>
      </c>
      <c r="AT123" s="10"/>
      <c r="AU123">
        <f t="shared" si="119"/>
        <v>96.518752942603285</v>
      </c>
    </row>
    <row r="124" spans="7:47" x14ac:dyDescent="0.2">
      <c r="G124">
        <v>115</v>
      </c>
      <c r="H124">
        <f t="shared" si="55"/>
        <v>11.5</v>
      </c>
      <c r="I124" s="463">
        <f t="shared" si="97"/>
        <v>0.494925</v>
      </c>
      <c r="J124" s="464">
        <f t="shared" si="56"/>
        <v>8.0507799999999996</v>
      </c>
      <c r="K124" s="464">
        <f t="shared" si="76"/>
        <v>15.52539</v>
      </c>
      <c r="L124" s="464">
        <f t="shared" si="98"/>
        <v>7.4746100000000002</v>
      </c>
      <c r="M124" s="77">
        <f t="shared" si="57"/>
        <v>0</v>
      </c>
      <c r="N124" s="463">
        <f t="shared" si="99"/>
        <v>11.732487156781096</v>
      </c>
      <c r="O124" s="463">
        <f t="shared" si="100"/>
        <v>0.72836014987531039</v>
      </c>
      <c r="P124">
        <f t="shared" si="59"/>
        <v>0.5</v>
      </c>
      <c r="Q124" s="463">
        <f t="shared" si="79"/>
        <v>1.2283601498753103</v>
      </c>
      <c r="R124" s="9">
        <f t="shared" si="101"/>
        <v>2.3240600000932279</v>
      </c>
      <c r="S124" s="9">
        <f t="shared" si="102"/>
        <v>1.6203764652100005E-2</v>
      </c>
      <c r="T124" s="9">
        <f t="shared" si="103"/>
        <v>1.6203764652100005E-2</v>
      </c>
      <c r="U124" s="463">
        <f t="shared" si="104"/>
        <v>8.2539110319581344</v>
      </c>
      <c r="V124" s="465">
        <f t="shared" si="105"/>
        <v>0.68127047323480194</v>
      </c>
      <c r="W124" s="463">
        <f t="shared" si="106"/>
        <v>0.68127047323480194</v>
      </c>
      <c r="X124" s="463">
        <f t="shared" si="107"/>
        <v>8.2539110319581344</v>
      </c>
      <c r="Y124" s="463">
        <f t="shared" si="108"/>
        <v>0.12262868518226436</v>
      </c>
      <c r="Z124" s="463">
        <f t="shared" si="62"/>
        <v>0.88679612009660547</v>
      </c>
      <c r="AA124" s="463">
        <f t="shared" si="63"/>
        <v>2.9999999999999992E-2</v>
      </c>
      <c r="AB124" s="463">
        <f t="shared" si="64"/>
        <v>0</v>
      </c>
      <c r="AC124" s="463">
        <f t="shared" si="109"/>
        <v>1.0655584106555895</v>
      </c>
      <c r="AD124" s="463">
        <f t="shared" si="110"/>
        <v>8.3381177468630856</v>
      </c>
      <c r="AE124" s="463">
        <f t="shared" si="111"/>
        <v>0.12514357360899564</v>
      </c>
      <c r="AF124" s="463">
        <f t="shared" si="67"/>
        <v>0.27600000000000002</v>
      </c>
      <c r="AG124" s="463">
        <f t="shared" si="112"/>
        <v>0.41144142362565306</v>
      </c>
      <c r="AH124" s="463">
        <f t="shared" si="113"/>
        <v>0</v>
      </c>
      <c r="AI124">
        <f t="shared" si="70"/>
        <v>0</v>
      </c>
      <c r="AJ124" s="464">
        <f t="shared" si="71"/>
        <v>0.43162739999999994</v>
      </c>
      <c r="AK124">
        <f t="shared" si="84"/>
        <v>7.2000000000000008E-2</v>
      </c>
      <c r="AL124" s="464">
        <f t="shared" si="85"/>
        <v>0.98399999999999999</v>
      </c>
      <c r="AM124" s="464">
        <f t="shared" si="86"/>
        <v>0.82265384615384629</v>
      </c>
      <c r="AN124" s="464">
        <f t="shared" si="114"/>
        <v>1.056</v>
      </c>
      <c r="AO124" s="464">
        <f t="shared" si="115"/>
        <v>4.8904616220434551</v>
      </c>
      <c r="AP124" s="100">
        <f t="shared" si="73"/>
        <v>135.70000000000002</v>
      </c>
      <c r="AQ124" s="10">
        <f t="shared" si="116"/>
        <v>0.96521484056869566</v>
      </c>
      <c r="AR124" s="77">
        <f t="shared" si="117"/>
        <v>53.277920532779476</v>
      </c>
      <c r="AS124" s="77">
        <f t="shared" si="118"/>
        <v>20.572071181282652</v>
      </c>
      <c r="AT124" s="10"/>
      <c r="AU124">
        <f t="shared" si="119"/>
        <v>96.521484056869568</v>
      </c>
    </row>
    <row r="125" spans="7:47" x14ac:dyDescent="0.2">
      <c r="G125">
        <v>116</v>
      </c>
      <c r="H125">
        <f t="shared" si="55"/>
        <v>11.6</v>
      </c>
      <c r="I125" s="463">
        <f t="shared" si="97"/>
        <v>0.49495333333333336</v>
      </c>
      <c r="J125" s="464">
        <f t="shared" si="56"/>
        <v>8.0512408888888896</v>
      </c>
      <c r="K125" s="464">
        <f t="shared" si="76"/>
        <v>15.625620444444444</v>
      </c>
      <c r="L125" s="464">
        <f t="shared" si="98"/>
        <v>7.5743795555555549</v>
      </c>
      <c r="M125" s="77">
        <f t="shared" si="57"/>
        <v>0</v>
      </c>
      <c r="N125" s="463">
        <f t="shared" si="99"/>
        <v>11.830548310239458</v>
      </c>
      <c r="O125" s="463">
        <f t="shared" si="100"/>
        <v>0.74131150540910951</v>
      </c>
      <c r="P125">
        <f t="shared" si="59"/>
        <v>0.5</v>
      </c>
      <c r="Q125" s="463">
        <f t="shared" si="79"/>
        <v>1.2413115054091095</v>
      </c>
      <c r="R125" s="9">
        <f t="shared" si="101"/>
        <v>2.3241930472552612</v>
      </c>
      <c r="S125" s="9">
        <f t="shared" si="102"/>
        <v>1.6205619962729092E-2</v>
      </c>
      <c r="T125" s="9">
        <f t="shared" si="103"/>
        <v>1.6205619962729092E-2</v>
      </c>
      <c r="U125" s="463">
        <f t="shared" si="104"/>
        <v>8.3231361721265849</v>
      </c>
      <c r="V125" s="465">
        <f t="shared" si="105"/>
        <v>0.69274595739761979</v>
      </c>
      <c r="W125" s="463">
        <f t="shared" si="106"/>
        <v>0.69274595739761979</v>
      </c>
      <c r="X125" s="463">
        <f t="shared" si="107"/>
        <v>8.3231361721265849</v>
      </c>
      <c r="Y125" s="463">
        <f t="shared" si="108"/>
        <v>0.12469427233157156</v>
      </c>
      <c r="Z125" s="463">
        <f t="shared" si="62"/>
        <v>0.89371044723674242</v>
      </c>
      <c r="AA125" s="463">
        <f t="shared" si="63"/>
        <v>2.9999999999999992E-2</v>
      </c>
      <c r="AB125" s="463">
        <f t="shared" si="64"/>
        <v>0</v>
      </c>
      <c r="AC125" s="463">
        <f t="shared" si="109"/>
        <v>1.0752194612313104</v>
      </c>
      <c r="AD125" s="463">
        <f t="shared" si="110"/>
        <v>8.4075726331175815</v>
      </c>
      <c r="AE125" s="463">
        <f t="shared" si="111"/>
        <v>0.12723709964606586</v>
      </c>
      <c r="AF125" s="463">
        <f t="shared" si="67"/>
        <v>0.27839999999999998</v>
      </c>
      <c r="AG125" s="463">
        <f t="shared" si="112"/>
        <v>0.41622905520049247</v>
      </c>
      <c r="AH125" s="463">
        <f t="shared" si="113"/>
        <v>0</v>
      </c>
      <c r="AI125">
        <f t="shared" si="70"/>
        <v>0</v>
      </c>
      <c r="AJ125" s="464">
        <f t="shared" si="71"/>
        <v>0.43162415999999998</v>
      </c>
      <c r="AK125">
        <f t="shared" si="84"/>
        <v>7.2000000000000008E-2</v>
      </c>
      <c r="AL125" s="464">
        <f t="shared" si="85"/>
        <v>0.98399999999999999</v>
      </c>
      <c r="AM125" s="464">
        <f t="shared" si="86"/>
        <v>0.82265384615384629</v>
      </c>
      <c r="AN125" s="464">
        <f t="shared" si="114"/>
        <v>1.056</v>
      </c>
      <c r="AO125" s="464">
        <f t="shared" si="115"/>
        <v>4.9293357592012619</v>
      </c>
      <c r="AP125" s="100">
        <f t="shared" si="73"/>
        <v>136.88</v>
      </c>
      <c r="AQ125" s="10">
        <f t="shared" si="116"/>
        <v>0.96523969502564</v>
      </c>
      <c r="AR125" s="77">
        <f t="shared" si="117"/>
        <v>53.760973061565522</v>
      </c>
      <c r="AS125" s="77">
        <f t="shared" si="118"/>
        <v>20.811452760024622</v>
      </c>
      <c r="AT125" s="10"/>
      <c r="AU125">
        <f t="shared" si="119"/>
        <v>96.523969502564</v>
      </c>
    </row>
    <row r="126" spans="7:47" x14ac:dyDescent="0.2">
      <c r="G126">
        <v>117</v>
      </c>
      <c r="H126">
        <f t="shared" si="55"/>
        <v>11.7</v>
      </c>
      <c r="I126" s="463">
        <f t="shared" si="97"/>
        <v>0.49498166666666671</v>
      </c>
      <c r="J126" s="464">
        <f t="shared" si="56"/>
        <v>8.0517017777777777</v>
      </c>
      <c r="K126" s="464">
        <f t="shared" si="76"/>
        <v>15.725850888888889</v>
      </c>
      <c r="L126" s="464">
        <f t="shared" si="98"/>
        <v>7.6741491111111104</v>
      </c>
      <c r="M126" s="77">
        <f t="shared" si="57"/>
        <v>0</v>
      </c>
      <c r="N126" s="463">
        <f t="shared" si="99"/>
        <v>11.928641657506068</v>
      </c>
      <c r="O126" s="463">
        <f t="shared" si="100"/>
        <v>0.75440067999259464</v>
      </c>
      <c r="P126">
        <f t="shared" si="59"/>
        <v>0.5</v>
      </c>
      <c r="Q126" s="463">
        <f t="shared" si="79"/>
        <v>1.2544006799925946</v>
      </c>
      <c r="R126" s="9">
        <f t="shared" si="101"/>
        <v>2.3243260944172941</v>
      </c>
      <c r="S126" s="9">
        <f t="shared" si="102"/>
        <v>1.6207475379567456E-2</v>
      </c>
      <c r="T126" s="9">
        <f t="shared" si="103"/>
        <v>1.6207475379567456E-2</v>
      </c>
      <c r="U126" s="463">
        <f t="shared" si="104"/>
        <v>8.3923879046398788</v>
      </c>
      <c r="V126" s="465">
        <f t="shared" si="105"/>
        <v>0.7043217474194573</v>
      </c>
      <c r="W126" s="463">
        <f t="shared" si="106"/>
        <v>0.7043217474194573</v>
      </c>
      <c r="X126" s="463">
        <f t="shared" si="107"/>
        <v>8.3923879046398788</v>
      </c>
      <c r="Y126" s="463">
        <f t="shared" si="108"/>
        <v>0.1267779145355023</v>
      </c>
      <c r="Z126" s="463">
        <f t="shared" si="62"/>
        <v>0.9006247743768796</v>
      </c>
      <c r="AA126" s="463">
        <f t="shared" si="63"/>
        <v>2.9999999999999992E-2</v>
      </c>
      <c r="AB126" s="463">
        <f t="shared" si="64"/>
        <v>0</v>
      </c>
      <c r="AC126" s="463">
        <f t="shared" si="109"/>
        <v>1.0849112459560668</v>
      </c>
      <c r="AD126" s="463">
        <f t="shared" si="110"/>
        <v>8.4770464816021498</v>
      </c>
      <c r="AE126" s="463">
        <f t="shared" si="111"/>
        <v>0.1293485706922381</v>
      </c>
      <c r="AF126" s="463">
        <f t="shared" si="67"/>
        <v>0.28079999999999999</v>
      </c>
      <c r="AG126" s="463">
        <f t="shared" si="112"/>
        <v>0.42104077518695499</v>
      </c>
      <c r="AH126" s="463">
        <f t="shared" si="113"/>
        <v>0</v>
      </c>
      <c r="AI126">
        <f t="shared" si="70"/>
        <v>0</v>
      </c>
      <c r="AJ126" s="464">
        <f t="shared" si="71"/>
        <v>0.43162092000000002</v>
      </c>
      <c r="AK126">
        <f t="shared" si="84"/>
        <v>7.2000000000000008E-2</v>
      </c>
      <c r="AL126" s="464">
        <f t="shared" si="85"/>
        <v>0.98399999999999999</v>
      </c>
      <c r="AM126" s="464">
        <f t="shared" si="86"/>
        <v>0.82265384615384629</v>
      </c>
      <c r="AN126" s="464">
        <f t="shared" si="114"/>
        <v>1.056</v>
      </c>
      <c r="AO126" s="464">
        <f t="shared" si="115"/>
        <v>4.9685028439346404</v>
      </c>
      <c r="AP126" s="100">
        <f t="shared" si="73"/>
        <v>138.06</v>
      </c>
      <c r="AQ126" s="10">
        <f t="shared" si="116"/>
        <v>0.96526214883647343</v>
      </c>
      <c r="AR126" s="77">
        <f t="shared" si="117"/>
        <v>54.245562297803339</v>
      </c>
      <c r="AS126" s="77">
        <f t="shared" si="118"/>
        <v>21.052038759347749</v>
      </c>
      <c r="AT126" s="10"/>
      <c r="AU126">
        <f t="shared" si="119"/>
        <v>96.526214883647341</v>
      </c>
    </row>
    <row r="127" spans="7:47" x14ac:dyDescent="0.2">
      <c r="G127">
        <v>118</v>
      </c>
      <c r="H127">
        <f t="shared" si="55"/>
        <v>11.799999999999999</v>
      </c>
      <c r="I127" s="463">
        <f t="shared" si="97"/>
        <v>0.49501000000000001</v>
      </c>
      <c r="J127" s="464">
        <f t="shared" si="56"/>
        <v>8.0521626666666659</v>
      </c>
      <c r="K127" s="464">
        <f t="shared" si="76"/>
        <v>15.826081333333331</v>
      </c>
      <c r="L127" s="464">
        <f t="shared" si="98"/>
        <v>7.773918666666666</v>
      </c>
      <c r="M127" s="77">
        <f t="shared" si="57"/>
        <v>0</v>
      </c>
      <c r="N127" s="463">
        <f t="shared" si="99"/>
        <v>12.026766410838437</v>
      </c>
      <c r="O127" s="463">
        <f t="shared" si="100"/>
        <v>0.76762841617257127</v>
      </c>
      <c r="P127">
        <f t="shared" si="59"/>
        <v>0.5</v>
      </c>
      <c r="Q127" s="463">
        <f t="shared" si="79"/>
        <v>1.2676284161725713</v>
      </c>
      <c r="R127" s="9">
        <f t="shared" si="101"/>
        <v>2.3244591415793274</v>
      </c>
      <c r="S127" s="9">
        <f t="shared" si="102"/>
        <v>1.6209330902615112E-2</v>
      </c>
      <c r="T127" s="9">
        <f t="shared" si="103"/>
        <v>1.6209330902615112E-2</v>
      </c>
      <c r="U127" s="463">
        <f t="shared" si="104"/>
        <v>8.4616656770422267</v>
      </c>
      <c r="V127" s="465">
        <f t="shared" si="105"/>
        <v>0.71599786030034485</v>
      </c>
      <c r="W127" s="463">
        <f t="shared" si="106"/>
        <v>0.71599786030034485</v>
      </c>
      <c r="X127" s="463">
        <f t="shared" si="107"/>
        <v>8.4616656770422267</v>
      </c>
      <c r="Y127" s="463">
        <f t="shared" si="108"/>
        <v>0.12887961485406205</v>
      </c>
      <c r="Z127" s="463">
        <f t="shared" si="62"/>
        <v>0.90753910151701633</v>
      </c>
      <c r="AA127" s="463">
        <f t="shared" si="63"/>
        <v>2.9999999999999992E-2</v>
      </c>
      <c r="AB127" s="463">
        <f t="shared" si="64"/>
        <v>0</v>
      </c>
      <c r="AC127" s="463">
        <f t="shared" si="109"/>
        <v>1.0946339158677236</v>
      </c>
      <c r="AD127" s="463">
        <f t="shared" si="110"/>
        <v>8.5465387304356835</v>
      </c>
      <c r="AE127" s="463">
        <f t="shared" si="111"/>
        <v>0.13147798368750693</v>
      </c>
      <c r="AF127" s="463">
        <f t="shared" si="67"/>
        <v>0.28320000000000001</v>
      </c>
      <c r="AG127" s="463">
        <f t="shared" si="112"/>
        <v>0.42587666472297436</v>
      </c>
      <c r="AH127" s="463">
        <f t="shared" si="113"/>
        <v>0</v>
      </c>
      <c r="AI127">
        <f t="shared" si="70"/>
        <v>0</v>
      </c>
      <c r="AJ127" s="464">
        <f t="shared" si="71"/>
        <v>0.43161768</v>
      </c>
      <c r="AK127">
        <f t="shared" si="84"/>
        <v>7.2000000000000008E-2</v>
      </c>
      <c r="AL127" s="464">
        <f t="shared" si="85"/>
        <v>0.98399999999999999</v>
      </c>
      <c r="AM127" s="464">
        <f t="shared" si="86"/>
        <v>0.82265384615384629</v>
      </c>
      <c r="AN127" s="464">
        <f t="shared" si="114"/>
        <v>1.056</v>
      </c>
      <c r="AO127" s="464">
        <f t="shared" si="115"/>
        <v>5.0079638679662297</v>
      </c>
      <c r="AP127" s="100">
        <f t="shared" si="73"/>
        <v>139.24</v>
      </c>
      <c r="AQ127" s="10">
        <f t="shared" si="116"/>
        <v>0.9652822560979083</v>
      </c>
      <c r="AR127" s="77">
        <f t="shared" si="117"/>
        <v>54.73169579338618</v>
      </c>
      <c r="AS127" s="77">
        <f t="shared" si="118"/>
        <v>21.293833236148718</v>
      </c>
      <c r="AT127" s="10"/>
      <c r="AU127">
        <f t="shared" si="119"/>
        <v>96.528225609790823</v>
      </c>
    </row>
    <row r="128" spans="7:47" x14ac:dyDescent="0.2">
      <c r="G128">
        <v>119</v>
      </c>
      <c r="H128">
        <f t="shared" si="55"/>
        <v>11.899999999999999</v>
      </c>
      <c r="I128" s="463">
        <f t="shared" si="97"/>
        <v>0.49503833333333341</v>
      </c>
      <c r="J128" s="464">
        <f t="shared" si="56"/>
        <v>8.0526235555555559</v>
      </c>
      <c r="K128" s="464">
        <f t="shared" si="76"/>
        <v>15.926311777777777</v>
      </c>
      <c r="L128" s="464">
        <f t="shared" si="98"/>
        <v>7.8736882222222206</v>
      </c>
      <c r="M128" s="77">
        <f t="shared" si="57"/>
        <v>0</v>
      </c>
      <c r="N128" s="463">
        <f t="shared" si="99"/>
        <v>12.124921807746114</v>
      </c>
      <c r="O128" s="463">
        <f t="shared" si="100"/>
        <v>0.78099546651693896</v>
      </c>
      <c r="P128">
        <f t="shared" si="59"/>
        <v>0.5</v>
      </c>
      <c r="Q128" s="463">
        <f t="shared" si="79"/>
        <v>1.280995466516939</v>
      </c>
      <c r="R128" s="9">
        <f t="shared" si="101"/>
        <v>2.3245921887413608</v>
      </c>
      <c r="S128" s="9">
        <f t="shared" si="102"/>
        <v>1.6211186531872052E-2</v>
      </c>
      <c r="T128" s="9">
        <f t="shared" si="103"/>
        <v>1.6211186531872052E-2</v>
      </c>
      <c r="U128" s="463">
        <f t="shared" si="104"/>
        <v>8.5309689545813736</v>
      </c>
      <c r="V128" s="465">
        <f t="shared" si="105"/>
        <v>0.72777431304031215</v>
      </c>
      <c r="W128" s="463">
        <f t="shared" si="106"/>
        <v>0.72777431304031215</v>
      </c>
      <c r="X128" s="463">
        <f t="shared" si="107"/>
        <v>8.5309689545813736</v>
      </c>
      <c r="Y128" s="463">
        <f t="shared" si="108"/>
        <v>0.13099937634725617</v>
      </c>
      <c r="Z128" s="463">
        <f t="shared" si="62"/>
        <v>0.91445342865715351</v>
      </c>
      <c r="AA128" s="463">
        <f t="shared" si="63"/>
        <v>2.9999999999999992E-2</v>
      </c>
      <c r="AB128" s="463">
        <f t="shared" si="64"/>
        <v>0</v>
      </c>
      <c r="AC128" s="463">
        <f t="shared" si="109"/>
        <v>1.1043876229754932</v>
      </c>
      <c r="AD128" s="463">
        <f t="shared" si="110"/>
        <v>8.6160488357440297</v>
      </c>
      <c r="AE128" s="463">
        <f t="shared" si="111"/>
        <v>0.1336253355718669</v>
      </c>
      <c r="AF128" s="463">
        <f t="shared" si="67"/>
        <v>0.28559999999999997</v>
      </c>
      <c r="AG128" s="463">
        <f t="shared" si="112"/>
        <v>0.43073680561043659</v>
      </c>
      <c r="AH128" s="463">
        <f t="shared" si="113"/>
        <v>0</v>
      </c>
      <c r="AI128">
        <f t="shared" si="70"/>
        <v>0</v>
      </c>
      <c r="AJ128" s="464">
        <f t="shared" si="71"/>
        <v>0.43161443999999999</v>
      </c>
      <c r="AK128">
        <f t="shared" si="84"/>
        <v>7.2000000000000008E-2</v>
      </c>
      <c r="AL128" s="464">
        <f t="shared" si="85"/>
        <v>0.98399999999999999</v>
      </c>
      <c r="AM128" s="464">
        <f t="shared" si="86"/>
        <v>0.82265384615384629</v>
      </c>
      <c r="AN128" s="464">
        <f t="shared" si="114"/>
        <v>1.056</v>
      </c>
      <c r="AO128" s="464">
        <f t="shared" si="115"/>
        <v>5.0477198346750534</v>
      </c>
      <c r="AP128" s="100">
        <f t="shared" si="73"/>
        <v>140.41999999999999</v>
      </c>
      <c r="AQ128" s="10">
        <f t="shared" si="116"/>
        <v>0.96530006904341503</v>
      </c>
      <c r="AR128" s="77">
        <f t="shared" si="117"/>
        <v>55.219381148774659</v>
      </c>
      <c r="AS128" s="77">
        <f t="shared" si="118"/>
        <v>21.53684028052183</v>
      </c>
      <c r="AT128" s="10"/>
      <c r="AU128">
        <f t="shared" si="119"/>
        <v>96.530006904341505</v>
      </c>
    </row>
    <row r="129" spans="7:47" x14ac:dyDescent="0.2">
      <c r="G129">
        <v>120</v>
      </c>
      <c r="H129">
        <f t="shared" si="55"/>
        <v>12</v>
      </c>
      <c r="I129" s="463">
        <f t="shared" si="97"/>
        <v>0.49506666666666671</v>
      </c>
      <c r="J129" s="464">
        <f t="shared" si="56"/>
        <v>8.0530844444444458</v>
      </c>
      <c r="K129" s="464">
        <f t="shared" si="76"/>
        <v>16.026542222222222</v>
      </c>
      <c r="L129" s="464">
        <f t="shared" si="98"/>
        <v>7.9734577777777771</v>
      </c>
      <c r="M129" s="77">
        <f t="shared" si="57"/>
        <v>0</v>
      </c>
      <c r="N129" s="463">
        <f t="shared" si="99"/>
        <v>12.223107109996462</v>
      </c>
      <c r="O129" s="463">
        <f t="shared" si="100"/>
        <v>0.79450259372882903</v>
      </c>
      <c r="P129">
        <f t="shared" si="59"/>
        <v>0.5</v>
      </c>
      <c r="Q129" s="463">
        <f t="shared" si="79"/>
        <v>1.294502593728829</v>
      </c>
      <c r="R129" s="9">
        <f t="shared" si="101"/>
        <v>2.3247252359033945</v>
      </c>
      <c r="S129" s="9">
        <f t="shared" si="102"/>
        <v>1.621304226733828E-2</v>
      </c>
      <c r="T129" s="9">
        <f t="shared" si="103"/>
        <v>1.621304226733828E-2</v>
      </c>
      <c r="U129" s="463">
        <f t="shared" si="104"/>
        <v>8.6002972195116012</v>
      </c>
      <c r="V129" s="465">
        <f t="shared" si="105"/>
        <v>0.73965112263938981</v>
      </c>
      <c r="W129" s="463">
        <f t="shared" si="106"/>
        <v>0.73965112263938981</v>
      </c>
      <c r="X129" s="463">
        <f t="shared" si="107"/>
        <v>8.6002972195116012</v>
      </c>
      <c r="Y129" s="463">
        <f t="shared" si="108"/>
        <v>0.13313720207509017</v>
      </c>
      <c r="Z129" s="463">
        <f t="shared" si="62"/>
        <v>0.92136775579729069</v>
      </c>
      <c r="AA129" s="463">
        <f t="shared" si="63"/>
        <v>2.9999999999999992E-2</v>
      </c>
      <c r="AB129" s="463">
        <f t="shared" si="64"/>
        <v>0</v>
      </c>
      <c r="AC129" s="463">
        <f t="shared" si="109"/>
        <v>1.1141725202678638</v>
      </c>
      <c r="AD129" s="463">
        <f t="shared" si="110"/>
        <v>8.6855762709510014</v>
      </c>
      <c r="AE129" s="463">
        <f t="shared" si="111"/>
        <v>0.13579062328531277</v>
      </c>
      <c r="AF129" s="463">
        <f t="shared" si="67"/>
        <v>0.28800000000000003</v>
      </c>
      <c r="AG129" s="463">
        <f t="shared" si="112"/>
        <v>0.43562128031949898</v>
      </c>
      <c r="AH129" s="463">
        <f t="shared" si="113"/>
        <v>0</v>
      </c>
      <c r="AI129">
        <f t="shared" si="70"/>
        <v>0</v>
      </c>
      <c r="AJ129" s="464">
        <f t="shared" si="71"/>
        <v>0.43161119999999997</v>
      </c>
      <c r="AK129">
        <f t="shared" si="84"/>
        <v>7.2000000000000008E-2</v>
      </c>
      <c r="AL129" s="464">
        <f t="shared" si="85"/>
        <v>0.98399999999999999</v>
      </c>
      <c r="AM129" s="464">
        <f t="shared" si="86"/>
        <v>0.82265384615384629</v>
      </c>
      <c r="AN129" s="464">
        <f t="shared" si="114"/>
        <v>1.056</v>
      </c>
      <c r="AO129" s="464">
        <f t="shared" si="115"/>
        <v>5.0877717592229201</v>
      </c>
      <c r="AP129" s="100">
        <f t="shared" si="73"/>
        <v>141.60000000000002</v>
      </c>
      <c r="AQ129" s="10">
        <f t="shared" si="116"/>
        <v>0.96531563811894194</v>
      </c>
      <c r="AR129" s="77">
        <f t="shared" si="117"/>
        <v>55.708626013393193</v>
      </c>
      <c r="AS129" s="77">
        <f t="shared" si="118"/>
        <v>21.781064015974948</v>
      </c>
      <c r="AT129" s="10"/>
      <c r="AU129">
        <f t="shared" si="119"/>
        <v>96.531563811894188</v>
      </c>
    </row>
    <row r="130" spans="7:47" x14ac:dyDescent="0.2">
      <c r="G130">
        <v>121</v>
      </c>
      <c r="H130">
        <f t="shared" si="55"/>
        <v>12.1</v>
      </c>
      <c r="I130" s="463">
        <f t="shared" si="97"/>
        <v>0.49509500000000001</v>
      </c>
      <c r="J130" s="464">
        <f t="shared" si="56"/>
        <v>8.053545333333334</v>
      </c>
      <c r="K130" s="464">
        <f t="shared" si="76"/>
        <v>16.126772666666668</v>
      </c>
      <c r="L130" s="464">
        <f t="shared" si="98"/>
        <v>8.0732273333333318</v>
      </c>
      <c r="M130" s="77">
        <f t="shared" si="57"/>
        <v>0</v>
      </c>
      <c r="N130" s="463">
        <f t="shared" si="99"/>
        <v>12.321321602666572</v>
      </c>
      <c r="O130" s="463">
        <f t="shared" si="100"/>
        <v>0.80815057076272589</v>
      </c>
      <c r="P130">
        <f t="shared" si="59"/>
        <v>0.5</v>
      </c>
      <c r="Q130" s="463">
        <f t="shared" si="79"/>
        <v>1.3081505707627259</v>
      </c>
      <c r="R130" s="9">
        <f t="shared" si="101"/>
        <v>2.3248582830654274</v>
      </c>
      <c r="S130" s="9">
        <f t="shared" si="102"/>
        <v>1.6214898109013783E-2</v>
      </c>
      <c r="T130" s="9">
        <f t="shared" si="103"/>
        <v>1.6214898109013783E-2</v>
      </c>
      <c r="U130" s="463">
        <f t="shared" si="104"/>
        <v>8.6696499704290684</v>
      </c>
      <c r="V130" s="465">
        <f t="shared" si="105"/>
        <v>0.75162830609760745</v>
      </c>
      <c r="W130" s="463">
        <f t="shared" si="106"/>
        <v>0.75162830609760745</v>
      </c>
      <c r="X130" s="463">
        <f t="shared" si="107"/>
        <v>8.6696499704290684</v>
      </c>
      <c r="Y130" s="463">
        <f t="shared" si="108"/>
        <v>0.13529309509756934</v>
      </c>
      <c r="Z130" s="463">
        <f t="shared" si="62"/>
        <v>0.92828208293742764</v>
      </c>
      <c r="AA130" s="463">
        <f t="shared" si="63"/>
        <v>2.9999999999999992E-2</v>
      </c>
      <c r="AB130" s="463">
        <f t="shared" si="64"/>
        <v>0</v>
      </c>
      <c r="AC130" s="463">
        <f t="shared" si="109"/>
        <v>1.1239887617206101</v>
      </c>
      <c r="AD130" s="463">
        <f t="shared" si="110"/>
        <v>8.7551205261022655</v>
      </c>
      <c r="AE130" s="463">
        <f t="shared" si="111"/>
        <v>0.137973843767839</v>
      </c>
      <c r="AF130" s="463">
        <f t="shared" si="67"/>
        <v>0.29039999999999999</v>
      </c>
      <c r="AG130" s="463">
        <f t="shared" si="112"/>
        <v>0.44053017199295402</v>
      </c>
      <c r="AH130" s="463">
        <f t="shared" si="113"/>
        <v>0</v>
      </c>
      <c r="AI130">
        <f t="shared" si="70"/>
        <v>0</v>
      </c>
      <c r="AJ130" s="464">
        <f t="shared" si="71"/>
        <v>0.43160795999999996</v>
      </c>
      <c r="AK130">
        <f t="shared" si="84"/>
        <v>7.2000000000000008E-2</v>
      </c>
      <c r="AL130" s="464">
        <f t="shared" si="85"/>
        <v>0.98399999999999999</v>
      </c>
      <c r="AM130" s="464">
        <f t="shared" si="86"/>
        <v>0.82265384615384629</v>
      </c>
      <c r="AN130" s="464">
        <f t="shared" si="114"/>
        <v>1.056</v>
      </c>
      <c r="AO130" s="464">
        <f t="shared" si="115"/>
        <v>5.1281206686829108</v>
      </c>
      <c r="AP130" s="100">
        <f t="shared" si="73"/>
        <v>142.78</v>
      </c>
      <c r="AQ130" s="10">
        <f t="shared" si="116"/>
        <v>0.96532901205492305</v>
      </c>
      <c r="AR130" s="77">
        <f t="shared" si="117"/>
        <v>56.199438086030504</v>
      </c>
      <c r="AS130" s="77">
        <f t="shared" si="118"/>
        <v>22.026508599647702</v>
      </c>
      <c r="AT130" s="10"/>
      <c r="AU130">
        <f t="shared" si="119"/>
        <v>96.532901205492308</v>
      </c>
    </row>
    <row r="131" spans="7:47" x14ac:dyDescent="0.2">
      <c r="G131">
        <v>122</v>
      </c>
      <c r="H131">
        <f t="shared" si="55"/>
        <v>12.2</v>
      </c>
      <c r="I131" s="463">
        <f t="shared" si="97"/>
        <v>0.49512333333333336</v>
      </c>
      <c r="J131" s="464">
        <f t="shared" si="56"/>
        <v>8.0540062222222222</v>
      </c>
      <c r="K131" s="464">
        <f t="shared" si="76"/>
        <v>16.227003111111109</v>
      </c>
      <c r="L131" s="464">
        <f t="shared" si="98"/>
        <v>8.1729968888888891</v>
      </c>
      <c r="M131" s="77">
        <f t="shared" si="57"/>
        <v>0</v>
      </c>
      <c r="N131" s="463">
        <f t="shared" si="99"/>
        <v>12.41956459323888</v>
      </c>
      <c r="O131" s="463">
        <f t="shared" si="100"/>
        <v>0.82194018094260701</v>
      </c>
      <c r="P131">
        <f t="shared" si="59"/>
        <v>0.5</v>
      </c>
      <c r="Q131" s="463">
        <f t="shared" si="79"/>
        <v>1.321940180942607</v>
      </c>
      <c r="R131" s="9">
        <f t="shared" si="101"/>
        <v>2.3249913302274607</v>
      </c>
      <c r="S131" s="9">
        <f t="shared" si="102"/>
        <v>1.6216754056898573E-2</v>
      </c>
      <c r="T131" s="9">
        <f t="shared" si="103"/>
        <v>1.6216754056898573E-2</v>
      </c>
      <c r="U131" s="463">
        <f t="shared" si="104"/>
        <v>8.7390267216377975</v>
      </c>
      <c r="V131" s="465">
        <f t="shared" si="105"/>
        <v>0.76370588041499476</v>
      </c>
      <c r="W131" s="463">
        <f t="shared" si="106"/>
        <v>0.76370588041499476</v>
      </c>
      <c r="X131" s="463">
        <f t="shared" si="107"/>
        <v>8.7390267216377975</v>
      </c>
      <c r="Y131" s="463">
        <f t="shared" si="108"/>
        <v>0.13746705847469906</v>
      </c>
      <c r="Z131" s="463">
        <f t="shared" si="62"/>
        <v>0.93519641007756471</v>
      </c>
      <c r="AA131" s="463">
        <f t="shared" si="63"/>
        <v>2.9999999999999992E-2</v>
      </c>
      <c r="AB131" s="463">
        <f t="shared" si="64"/>
        <v>0</v>
      </c>
      <c r="AC131" s="463">
        <f t="shared" si="109"/>
        <v>1.1338365023048824</v>
      </c>
      <c r="AD131" s="463">
        <f t="shared" si="110"/>
        <v>8.824681107220437</v>
      </c>
      <c r="AE131" s="463">
        <f t="shared" si="111"/>
        <v>0.14017499395943997</v>
      </c>
      <c r="AF131" s="463">
        <f t="shared" si="67"/>
        <v>0.2928</v>
      </c>
      <c r="AG131" s="463">
        <f t="shared" si="112"/>
        <v>0.44546356445064383</v>
      </c>
      <c r="AH131" s="463">
        <f t="shared" si="113"/>
        <v>0</v>
      </c>
      <c r="AI131">
        <f t="shared" si="70"/>
        <v>0</v>
      </c>
      <c r="AJ131" s="464">
        <f t="shared" si="71"/>
        <v>0.43160471999999994</v>
      </c>
      <c r="AK131">
        <f t="shared" si="84"/>
        <v>7.2000000000000008E-2</v>
      </c>
      <c r="AL131" s="464">
        <f t="shared" si="85"/>
        <v>0.98399999999999999</v>
      </c>
      <c r="AM131" s="464">
        <f t="shared" si="86"/>
        <v>0.82265384615384629</v>
      </c>
      <c r="AN131" s="464">
        <f t="shared" si="114"/>
        <v>1.056</v>
      </c>
      <c r="AO131" s="464">
        <f t="shared" si="115"/>
        <v>5.1687676021700266</v>
      </c>
      <c r="AP131" s="100">
        <f t="shared" si="73"/>
        <v>143.96</v>
      </c>
      <c r="AQ131" s="10">
        <f t="shared" si="116"/>
        <v>0.96534023793478452</v>
      </c>
      <c r="AR131" s="77">
        <f t="shared" si="117"/>
        <v>56.691825115244121</v>
      </c>
      <c r="AS131" s="77">
        <f t="shared" si="118"/>
        <v>22.273178222532191</v>
      </c>
      <c r="AT131" s="10"/>
      <c r="AU131">
        <f t="shared" si="119"/>
        <v>96.534023793478454</v>
      </c>
    </row>
    <row r="132" spans="7:47" x14ac:dyDescent="0.2">
      <c r="G132">
        <v>123</v>
      </c>
      <c r="H132">
        <f t="shared" si="55"/>
        <v>12.3</v>
      </c>
      <c r="I132" s="463">
        <f t="shared" si="97"/>
        <v>0.49515166666666671</v>
      </c>
      <c r="J132" s="464">
        <f t="shared" si="56"/>
        <v>8.0544671111111104</v>
      </c>
      <c r="K132" s="464">
        <f t="shared" si="76"/>
        <v>16.327233555555555</v>
      </c>
      <c r="L132" s="464">
        <f t="shared" si="98"/>
        <v>8.2727664444444464</v>
      </c>
      <c r="M132" s="77">
        <f t="shared" si="57"/>
        <v>0</v>
      </c>
      <c r="N132" s="463">
        <f t="shared" si="99"/>
        <v>12.517835410738188</v>
      </c>
      <c r="O132" s="463">
        <f t="shared" si="100"/>
        <v>0.83587221808213785</v>
      </c>
      <c r="P132">
        <f t="shared" si="59"/>
        <v>0.5</v>
      </c>
      <c r="Q132" s="463">
        <f t="shared" si="79"/>
        <v>1.3358722180821379</v>
      </c>
      <c r="R132" s="9">
        <f t="shared" si="101"/>
        <v>2.3251243773894936</v>
      </c>
      <c r="S132" s="9">
        <f t="shared" si="102"/>
        <v>1.621861011099264E-2</v>
      </c>
      <c r="T132" s="9">
        <f t="shared" si="103"/>
        <v>1.621861011099264E-2</v>
      </c>
      <c r="U132" s="463">
        <f t="shared" si="104"/>
        <v>8.8084270025446827</v>
      </c>
      <c r="V132" s="465">
        <f t="shared" si="105"/>
        <v>0.77588386259158304</v>
      </c>
      <c r="W132" s="463">
        <f t="shared" si="106"/>
        <v>0.77588386259158304</v>
      </c>
      <c r="X132" s="463">
        <f t="shared" si="107"/>
        <v>8.8084270025446827</v>
      </c>
      <c r="Y132" s="463">
        <f t="shared" si="108"/>
        <v>0.13965909526648493</v>
      </c>
      <c r="Z132" s="463">
        <f t="shared" si="62"/>
        <v>0.94211073721770178</v>
      </c>
      <c r="AA132" s="463">
        <f t="shared" si="63"/>
        <v>2.9999999999999992E-2</v>
      </c>
      <c r="AB132" s="463">
        <f t="shared" si="64"/>
        <v>0</v>
      </c>
      <c r="AC132" s="463">
        <f t="shared" si="109"/>
        <v>1.1437158979953725</v>
      </c>
      <c r="AD132" s="463">
        <f t="shared" si="110"/>
        <v>8.8942575356896771</v>
      </c>
      <c r="AE132" s="463">
        <f t="shared" si="111"/>
        <v>0.14239407080011068</v>
      </c>
      <c r="AF132" s="463">
        <f t="shared" si="67"/>
        <v>0.29520000000000002</v>
      </c>
      <c r="AG132" s="463">
        <f t="shared" si="112"/>
        <v>0.450421542193922</v>
      </c>
      <c r="AH132" s="463">
        <f t="shared" si="113"/>
        <v>0</v>
      </c>
      <c r="AI132">
        <f t="shared" si="70"/>
        <v>0</v>
      </c>
      <c r="AJ132" s="464">
        <f t="shared" si="71"/>
        <v>0.43160147999999998</v>
      </c>
      <c r="AK132">
        <f t="shared" si="84"/>
        <v>7.2000000000000008E-2</v>
      </c>
      <c r="AL132" s="464">
        <f t="shared" si="85"/>
        <v>0.98399999999999999</v>
      </c>
      <c r="AM132" s="464">
        <f t="shared" si="86"/>
        <v>0.82265384615384629</v>
      </c>
      <c r="AN132" s="464">
        <f t="shared" si="114"/>
        <v>1.056</v>
      </c>
      <c r="AO132" s="464">
        <f t="shared" si="115"/>
        <v>5.2097136109740081</v>
      </c>
      <c r="AP132" s="100">
        <f t="shared" si="73"/>
        <v>145.14000000000001</v>
      </c>
      <c r="AQ132" s="10">
        <f t="shared" si="116"/>
        <v>0.96534936126014848</v>
      </c>
      <c r="AR132" s="77">
        <f t="shared" si="117"/>
        <v>57.185794899768624</v>
      </c>
      <c r="AS132" s="77">
        <f t="shared" si="118"/>
        <v>22.521077109696101</v>
      </c>
      <c r="AT132" s="10"/>
      <c r="AU132">
        <f t="shared" si="119"/>
        <v>96.534936126014841</v>
      </c>
    </row>
    <row r="133" spans="7:47" x14ac:dyDescent="0.2">
      <c r="G133">
        <v>124</v>
      </c>
      <c r="H133">
        <f t="shared" si="55"/>
        <v>12.4</v>
      </c>
      <c r="I133" s="463">
        <f t="shared" si="97"/>
        <v>0.49518000000000001</v>
      </c>
      <c r="J133" s="464">
        <f t="shared" si="56"/>
        <v>8.0549279999999985</v>
      </c>
      <c r="K133" s="464">
        <f t="shared" si="76"/>
        <v>16.427464000000001</v>
      </c>
      <c r="L133" s="464">
        <f t="shared" si="98"/>
        <v>8.3725360000000002</v>
      </c>
      <c r="M133" s="77">
        <f t="shared" si="57"/>
        <v>0</v>
      </c>
      <c r="N133" s="463">
        <f t="shared" si="99"/>
        <v>12.616133404907862</v>
      </c>
      <c r="O133" s="463">
        <f t="shared" si="100"/>
        <v>0.84994748660695163</v>
      </c>
      <c r="P133">
        <f t="shared" si="59"/>
        <v>0.5</v>
      </c>
      <c r="Q133" s="463">
        <f t="shared" si="79"/>
        <v>1.3499474866069516</v>
      </c>
      <c r="R133" s="9">
        <f t="shared" si="101"/>
        <v>2.3252574245515265</v>
      </c>
      <c r="S133" s="9">
        <f t="shared" si="102"/>
        <v>1.6220466271295995E-2</v>
      </c>
      <c r="T133" s="9">
        <f t="shared" si="103"/>
        <v>1.6220466271295995E-2</v>
      </c>
      <c r="U133" s="463">
        <f t="shared" si="104"/>
        <v>8.8778503570819502</v>
      </c>
      <c r="V133" s="465">
        <f t="shared" si="105"/>
        <v>0.78816226962740121</v>
      </c>
      <c r="W133" s="463">
        <f t="shared" si="106"/>
        <v>0.78816226962740121</v>
      </c>
      <c r="X133" s="463">
        <f t="shared" si="107"/>
        <v>8.8778503570819502</v>
      </c>
      <c r="Y133" s="463">
        <f t="shared" si="108"/>
        <v>0.1418692085329322</v>
      </c>
      <c r="Z133" s="463">
        <f t="shared" si="62"/>
        <v>0.94902506435783884</v>
      </c>
      <c r="AA133" s="463">
        <f t="shared" si="63"/>
        <v>2.9999999999999992E-2</v>
      </c>
      <c r="AB133" s="463">
        <f t="shared" si="64"/>
        <v>0</v>
      </c>
      <c r="AC133" s="463">
        <f t="shared" si="109"/>
        <v>1.1536271057785594</v>
      </c>
      <c r="AD133" s="463">
        <f t="shared" si="110"/>
        <v>8.9638493476682175</v>
      </c>
      <c r="AE133" s="463">
        <f t="shared" si="111"/>
        <v>0.14463107122984548</v>
      </c>
      <c r="AF133" s="463">
        <f t="shared" si="67"/>
        <v>0.29760000000000003</v>
      </c>
      <c r="AG133" s="463">
        <f t="shared" si="112"/>
        <v>0.45540419041016195</v>
      </c>
      <c r="AH133" s="463">
        <f t="shared" si="113"/>
        <v>0</v>
      </c>
      <c r="AI133">
        <f t="shared" si="70"/>
        <v>0</v>
      </c>
      <c r="AJ133" s="464">
        <f t="shared" si="71"/>
        <v>0.43159823999999997</v>
      </c>
      <c r="AK133">
        <f t="shared" si="84"/>
        <v>7.2000000000000008E-2</v>
      </c>
      <c r="AL133" s="464">
        <f t="shared" si="85"/>
        <v>0.98399999999999999</v>
      </c>
      <c r="AM133" s="464">
        <f t="shared" si="86"/>
        <v>0.82265384615384629</v>
      </c>
      <c r="AN133" s="464">
        <f t="shared" si="114"/>
        <v>1.056</v>
      </c>
      <c r="AO133" s="464">
        <f t="shared" si="115"/>
        <v>5.2509597586943704</v>
      </c>
      <c r="AP133" s="100">
        <f t="shared" si="73"/>
        <v>146.32000000000002</v>
      </c>
      <c r="AQ133" s="10">
        <f t="shared" si="116"/>
        <v>0.96535642601291138</v>
      </c>
      <c r="AR133" s="77">
        <f t="shared" si="117"/>
        <v>57.681355288927975</v>
      </c>
      <c r="AS133" s="77">
        <f t="shared" si="118"/>
        <v>22.770209520508097</v>
      </c>
      <c r="AT133" s="10"/>
      <c r="AU133">
        <f t="shared" si="119"/>
        <v>96.535642601291144</v>
      </c>
    </row>
    <row r="134" spans="7:47" x14ac:dyDescent="0.2">
      <c r="G134">
        <v>125</v>
      </c>
      <c r="H134">
        <f t="shared" si="55"/>
        <v>12.5</v>
      </c>
      <c r="I134" s="463">
        <f t="shared" si="97"/>
        <v>0.49520833333333342</v>
      </c>
      <c r="J134" s="464">
        <f t="shared" si="56"/>
        <v>8.0553888888888903</v>
      </c>
      <c r="K134" s="464">
        <f t="shared" si="76"/>
        <v>16.527694444444446</v>
      </c>
      <c r="L134" s="464">
        <f t="shared" si="98"/>
        <v>8.472305555555554</v>
      </c>
      <c r="M134" s="77">
        <f t="shared" si="57"/>
        <v>0</v>
      </c>
      <c r="N134" s="463">
        <f t="shared" si="99"/>
        <v>12.714457945423241</v>
      </c>
      <c r="O134" s="463">
        <f t="shared" si="100"/>
        <v>0.8641668016790629</v>
      </c>
      <c r="P134">
        <f t="shared" si="59"/>
        <v>0.5</v>
      </c>
      <c r="Q134" s="463">
        <f t="shared" si="79"/>
        <v>1.3641668016790629</v>
      </c>
      <c r="R134" s="9">
        <f t="shared" si="101"/>
        <v>2.3253904717135607</v>
      </c>
      <c r="S134" s="9">
        <f t="shared" si="102"/>
        <v>1.6222322537808649E-2</v>
      </c>
      <c r="T134" s="9">
        <f t="shared" si="103"/>
        <v>1.6222322537808649E-2</v>
      </c>
      <c r="U134" s="463">
        <f t="shared" si="104"/>
        <v>8.9472963431557364</v>
      </c>
      <c r="V134" s="465">
        <f t="shared" si="105"/>
        <v>0.80054111852248011</v>
      </c>
      <c r="W134" s="463">
        <f t="shared" si="106"/>
        <v>0.80054111852248011</v>
      </c>
      <c r="X134" s="463">
        <f t="shared" si="107"/>
        <v>8.9472963431557364</v>
      </c>
      <c r="Y134" s="463">
        <f t="shared" si="108"/>
        <v>0.14409740133404642</v>
      </c>
      <c r="Z134" s="463">
        <f t="shared" si="62"/>
        <v>0.9559393914979758</v>
      </c>
      <c r="AA134" s="463">
        <f t="shared" si="63"/>
        <v>2.9999999999999992E-2</v>
      </c>
      <c r="AB134" s="463">
        <f t="shared" si="64"/>
        <v>0</v>
      </c>
      <c r="AC134" s="463">
        <f t="shared" si="109"/>
        <v>1.1635702836610371</v>
      </c>
      <c r="AD134" s="463">
        <f t="shared" si="110"/>
        <v>9.0334560935274482</v>
      </c>
      <c r="AE134" s="463">
        <f t="shared" si="111"/>
        <v>0.14688599218863871</v>
      </c>
      <c r="AF134" s="463">
        <f t="shared" si="67"/>
        <v>0.3</v>
      </c>
      <c r="AG134" s="463">
        <f t="shared" si="112"/>
        <v>0.46041159497731809</v>
      </c>
      <c r="AH134" s="463">
        <f t="shared" si="113"/>
        <v>0</v>
      </c>
      <c r="AI134">
        <f t="shared" si="70"/>
        <v>0</v>
      </c>
      <c r="AJ134" s="464">
        <f t="shared" si="71"/>
        <v>0.43159499999999995</v>
      </c>
      <c r="AK134">
        <f t="shared" si="84"/>
        <v>7.2000000000000008E-2</v>
      </c>
      <c r="AL134" s="464">
        <f t="shared" si="85"/>
        <v>0.98399999999999999</v>
      </c>
      <c r="AM134" s="464">
        <f t="shared" si="86"/>
        <v>0.82265384615384629</v>
      </c>
      <c r="AN134" s="464">
        <f t="shared" si="114"/>
        <v>1.056</v>
      </c>
      <c r="AO134" s="464">
        <f t="shared" si="115"/>
        <v>5.2925071213777066</v>
      </c>
      <c r="AP134" s="100">
        <f t="shared" si="73"/>
        <v>147.5</v>
      </c>
      <c r="AQ134" s="10">
        <f t="shared" si="116"/>
        <v>0.96536147471437617</v>
      </c>
      <c r="AR134" s="77">
        <f t="shared" si="117"/>
        <v>58.178514183051853</v>
      </c>
      <c r="AS134" s="77">
        <f t="shared" si="118"/>
        <v>23.020579748865906</v>
      </c>
      <c r="AT134" s="10"/>
      <c r="AU134">
        <f t="shared" si="119"/>
        <v>96.536147471437616</v>
      </c>
    </row>
    <row r="135" spans="7:47" x14ac:dyDescent="0.2">
      <c r="G135">
        <v>126</v>
      </c>
      <c r="H135">
        <f t="shared" si="55"/>
        <v>12.6</v>
      </c>
      <c r="I135" s="463">
        <f t="shared" si="97"/>
        <v>0.49523666666666671</v>
      </c>
      <c r="J135" s="464">
        <f t="shared" si="56"/>
        <v>8.0558497777777784</v>
      </c>
      <c r="K135" s="464">
        <f t="shared" si="76"/>
        <v>16.627924888888888</v>
      </c>
      <c r="L135" s="464">
        <f t="shared" si="98"/>
        <v>8.5720751111111113</v>
      </c>
      <c r="M135" s="77">
        <f t="shared" si="57"/>
        <v>0</v>
      </c>
      <c r="N135" s="463">
        <f t="shared" si="99"/>
        <v>12.812808421140289</v>
      </c>
      <c r="O135" s="463">
        <f t="shared" si="100"/>
        <v>0.87853098932344409</v>
      </c>
      <c r="P135">
        <f t="shared" si="59"/>
        <v>0.5</v>
      </c>
      <c r="Q135" s="463">
        <f t="shared" si="79"/>
        <v>1.3785309893234441</v>
      </c>
      <c r="R135" s="9">
        <f t="shared" si="101"/>
        <v>2.3255235188755936</v>
      </c>
      <c r="S135" s="9">
        <f t="shared" si="102"/>
        <v>1.622417891053057E-2</v>
      </c>
      <c r="T135" s="9">
        <f t="shared" si="103"/>
        <v>1.622417891053057E-2</v>
      </c>
      <c r="U135" s="463">
        <f t="shared" si="104"/>
        <v>9.0167645321193195</v>
      </c>
      <c r="V135" s="465">
        <f t="shared" si="105"/>
        <v>0.81302042627684923</v>
      </c>
      <c r="W135" s="463">
        <f t="shared" si="106"/>
        <v>0.81302042627684923</v>
      </c>
      <c r="X135" s="463">
        <f t="shared" si="107"/>
        <v>9.0167645321193195</v>
      </c>
      <c r="Y135" s="463">
        <f t="shared" si="108"/>
        <v>0.14634367672983287</v>
      </c>
      <c r="Z135" s="463">
        <f t="shared" si="62"/>
        <v>0.96285371863811287</v>
      </c>
      <c r="AA135" s="463">
        <f t="shared" si="63"/>
        <v>2.9999999999999992E-2</v>
      </c>
      <c r="AB135" s="463">
        <f t="shared" si="64"/>
        <v>0</v>
      </c>
      <c r="AC135" s="463">
        <f t="shared" si="109"/>
        <v>1.1735455906779237</v>
      </c>
      <c r="AD135" s="463">
        <f t="shared" si="110"/>
        <v>9.1030773373161331</v>
      </c>
      <c r="AE135" s="463">
        <f t="shared" si="111"/>
        <v>0.14915883061648544</v>
      </c>
      <c r="AF135" s="463">
        <f t="shared" si="67"/>
        <v>0.3024</v>
      </c>
      <c r="AG135" s="463">
        <f t="shared" si="112"/>
        <v>0.46544384246853554</v>
      </c>
      <c r="AH135" s="463">
        <f t="shared" si="113"/>
        <v>0</v>
      </c>
      <c r="AI135">
        <f t="shared" si="70"/>
        <v>0</v>
      </c>
      <c r="AJ135" s="464">
        <f t="shared" si="71"/>
        <v>0.43159175999999994</v>
      </c>
      <c r="AK135">
        <f t="shared" si="84"/>
        <v>7.2000000000000008E-2</v>
      </c>
      <c r="AL135" s="464">
        <f t="shared" si="85"/>
        <v>0.98399999999999999</v>
      </c>
      <c r="AM135" s="464">
        <f t="shared" si="86"/>
        <v>0.82265384615384629</v>
      </c>
      <c r="AN135" s="464">
        <f t="shared" si="114"/>
        <v>1.056</v>
      </c>
      <c r="AO135" s="464">
        <f t="shared" si="115"/>
        <v>5.334356787657283</v>
      </c>
      <c r="AP135" s="100">
        <f t="shared" si="73"/>
        <v>148.68</v>
      </c>
      <c r="AQ135" s="10">
        <f t="shared" si="116"/>
        <v>0.96536454848159481</v>
      </c>
      <c r="AR135" s="77">
        <f t="shared" si="117"/>
        <v>58.67727953389619</v>
      </c>
      <c r="AS135" s="77">
        <f t="shared" si="118"/>
        <v>23.272192123426777</v>
      </c>
      <c r="AT135" s="10"/>
      <c r="AU135">
        <f t="shared" si="119"/>
        <v>96.53645484815948</v>
      </c>
    </row>
    <row r="136" spans="7:47" x14ac:dyDescent="0.2">
      <c r="G136">
        <v>127</v>
      </c>
      <c r="H136">
        <f t="shared" si="55"/>
        <v>12.7</v>
      </c>
      <c r="I136" s="463">
        <f t="shared" si="97"/>
        <v>0.49526500000000001</v>
      </c>
      <c r="J136" s="464">
        <f t="shared" si="56"/>
        <v>8.0563106666666666</v>
      </c>
      <c r="K136" s="464">
        <f t="shared" si="76"/>
        <v>16.728155333333333</v>
      </c>
      <c r="L136" s="464">
        <f t="shared" si="98"/>
        <v>8.6718446666666651</v>
      </c>
      <c r="M136" s="77">
        <f t="shared" si="57"/>
        <v>0</v>
      </c>
      <c r="N136" s="463">
        <f t="shared" si="99"/>
        <v>12.911184239377654</v>
      </c>
      <c r="O136" s="463">
        <f t="shared" si="100"/>
        <v>0.89304088655680258</v>
      </c>
      <c r="P136">
        <f t="shared" si="59"/>
        <v>0.5</v>
      </c>
      <c r="Q136" s="463">
        <f t="shared" si="79"/>
        <v>1.3930408865568027</v>
      </c>
      <c r="R136" s="9">
        <f t="shared" si="101"/>
        <v>2.3256565660376269</v>
      </c>
      <c r="S136" s="9">
        <f t="shared" si="102"/>
        <v>1.6226035389461782E-2</v>
      </c>
      <c r="T136" s="9">
        <f t="shared" si="103"/>
        <v>1.6226035389461782E-2</v>
      </c>
      <c r="U136" s="463">
        <f t="shared" si="104"/>
        <v>9.0862545082698372</v>
      </c>
      <c r="V136" s="465">
        <f t="shared" si="105"/>
        <v>0.82560020989053939</v>
      </c>
      <c r="W136" s="463">
        <f t="shared" si="106"/>
        <v>0.82560020989053939</v>
      </c>
      <c r="X136" s="463">
        <f t="shared" si="107"/>
        <v>9.0862545082698372</v>
      </c>
      <c r="Y136" s="463">
        <f t="shared" si="108"/>
        <v>0.14860803778029708</v>
      </c>
      <c r="Z136" s="463">
        <f t="shared" si="62"/>
        <v>0.96976804577824993</v>
      </c>
      <c r="AA136" s="463">
        <f t="shared" si="63"/>
        <v>2.9999999999999992E-2</v>
      </c>
      <c r="AB136" s="463">
        <f t="shared" si="64"/>
        <v>0</v>
      </c>
      <c r="AC136" s="463">
        <f t="shared" si="109"/>
        <v>1.1835531869013525</v>
      </c>
      <c r="AD136" s="463">
        <f t="shared" si="110"/>
        <v>9.1727126562484234</v>
      </c>
      <c r="AE136" s="463">
        <f t="shared" si="111"/>
        <v>0.15144958345338</v>
      </c>
      <c r="AF136" s="463">
        <f t="shared" si="67"/>
        <v>0.30480000000000002</v>
      </c>
      <c r="AG136" s="463">
        <f t="shared" si="112"/>
        <v>0.47050102015680784</v>
      </c>
      <c r="AH136" s="463">
        <f t="shared" si="113"/>
        <v>0</v>
      </c>
      <c r="AI136">
        <f t="shared" si="70"/>
        <v>0</v>
      </c>
      <c r="AJ136" s="464">
        <f t="shared" si="71"/>
        <v>0.43158851999999992</v>
      </c>
      <c r="AK136">
        <f t="shared" si="84"/>
        <v>7.2000000000000008E-2</v>
      </c>
      <c r="AL136" s="464">
        <f t="shared" si="85"/>
        <v>0.98399999999999999</v>
      </c>
      <c r="AM136" s="464">
        <f t="shared" si="86"/>
        <v>0.82265384615384629</v>
      </c>
      <c r="AN136" s="464">
        <f t="shared" si="114"/>
        <v>1.056</v>
      </c>
      <c r="AO136" s="464">
        <f t="shared" si="115"/>
        <v>5.3765098588949645</v>
      </c>
      <c r="AP136" s="100">
        <f t="shared" si="73"/>
        <v>149.86000000000001</v>
      </c>
      <c r="AQ136" s="10">
        <f t="shared" si="116"/>
        <v>0.96536568708107362</v>
      </c>
      <c r="AR136" s="77">
        <f t="shared" si="117"/>
        <v>59.177659345067624</v>
      </c>
      <c r="AS136" s="77">
        <f t="shared" si="118"/>
        <v>23.525051007840393</v>
      </c>
      <c r="AT136" s="10"/>
      <c r="AU136">
        <f t="shared" si="119"/>
        <v>96.536568708107367</v>
      </c>
    </row>
    <row r="137" spans="7:47" x14ac:dyDescent="0.2">
      <c r="G137">
        <v>128</v>
      </c>
      <c r="H137">
        <f t="shared" ref="H137:H200" si="120">Iout*(G137/200)</f>
        <v>12.8</v>
      </c>
      <c r="I137" s="463">
        <f t="shared" si="97"/>
        <v>0.49529333333333336</v>
      </c>
      <c r="J137" s="464">
        <f t="shared" ref="J137:J200" si="121">(Vin-Vout)*I137/(Fsw*Lout2)</f>
        <v>8.0567715555555548</v>
      </c>
      <c r="K137" s="464">
        <f t="shared" si="76"/>
        <v>16.828385777777779</v>
      </c>
      <c r="L137" s="464">
        <f t="shared" si="98"/>
        <v>8.7716142222222224</v>
      </c>
      <c r="M137" s="77">
        <f t="shared" ref="M137:M200" si="122">IF(MIN(Vin, -L137/(CossTop+CossBot)*0.00000002)&lt;0, 0, MIN(Vin, -L137/(CossTop+CossBot)*0.00000002))</f>
        <v>0</v>
      </c>
      <c r="N137" s="463">
        <f t="shared" si="99"/>
        <v>13.00958482523049</v>
      </c>
      <c r="O137" s="463">
        <f t="shared" si="100"/>
        <v>0.90769734151860715</v>
      </c>
      <c r="P137">
        <f t="shared" ref="P137:P200" si="123">Core_Loss</f>
        <v>0.5</v>
      </c>
      <c r="Q137" s="463">
        <f t="shared" si="79"/>
        <v>1.4076973415186071</v>
      </c>
      <c r="R137" s="9">
        <f t="shared" si="101"/>
        <v>2.3257896131996598</v>
      </c>
      <c r="S137" s="9">
        <f t="shared" si="102"/>
        <v>1.6227891974602272E-2</v>
      </c>
      <c r="T137" s="9">
        <f t="shared" si="103"/>
        <v>1.6227891974602272E-2</v>
      </c>
      <c r="U137" s="463">
        <f t="shared" si="104"/>
        <v>9.1557658683672134</v>
      </c>
      <c r="V137" s="465">
        <f t="shared" si="105"/>
        <v>0.83828048636358032</v>
      </c>
      <c r="W137" s="463">
        <f t="shared" si="106"/>
        <v>0.83828048636358032</v>
      </c>
      <c r="X137" s="463">
        <f t="shared" si="107"/>
        <v>9.1557658683672134</v>
      </c>
      <c r="Y137" s="463">
        <f t="shared" si="108"/>
        <v>0.15089048754544446</v>
      </c>
      <c r="Z137" s="463">
        <f t="shared" ref="Z137:Z200" si="124">IF(L137&lt;0, (Vin*K137*Tf/2)*Fsw, (Vin*L137*Tr/2+Vin*K137*Tf/2)*Fsw)</f>
        <v>0.97668237291838689</v>
      </c>
      <c r="AA137" s="463">
        <f t="shared" ref="AA137:AA200" si="125">(0.5*CossTop*(Vin-M137)^2-0.5*CossBot*(Vin-M137)^2+(QossBot*(Vin-M137)/Vin)*Vin)*Fsw</f>
        <v>2.9999999999999992E-2</v>
      </c>
      <c r="AB137" s="463">
        <f t="shared" ref="AB137:AB200" si="126">IF(L137&gt;0,0,-L137*VsdTop*Deadtime*Fsw)</f>
        <v>0</v>
      </c>
      <c r="AC137" s="463">
        <f t="shared" si="109"/>
        <v>1.1935932334490453</v>
      </c>
      <c r="AD137" s="463">
        <f t="shared" si="110"/>
        <v>9.2423616402145523</v>
      </c>
      <c r="AE137" s="463">
        <f t="shared" si="111"/>
        <v>0.15375824763931698</v>
      </c>
      <c r="AF137" s="463">
        <f t="shared" ref="AF137:AF200" si="127">IF(L137&lt;0, Deadtime*Fsw*IF(VfdSky&gt;0,0,VsdBot)*K137, Deadtime*Fsw*IF(VfdSky&gt;0,0,VsdBot)*(K137+L137))</f>
        <v>0.30720000000000003</v>
      </c>
      <c r="AG137" s="463">
        <f t="shared" si="112"/>
        <v>0.47558321601968861</v>
      </c>
      <c r="AH137" s="463">
        <f t="shared" si="113"/>
        <v>0</v>
      </c>
      <c r="AI137">
        <f t="shared" ref="AI137:AI200" si="128">2*Deadtime*Fsw*IF(VfdSky&gt;0,VfdSky,0)*H137</f>
        <v>0</v>
      </c>
      <c r="AJ137" s="464">
        <f t="shared" ref="AJ137:AJ200" si="129">IF(QrrSky&gt;0,QrrSky,QrrBot)*Fsw*(Vin-H137*RdsonTop)</f>
        <v>0.43158527999999996</v>
      </c>
      <c r="AK137">
        <f t="shared" si="84"/>
        <v>7.2000000000000008E-2</v>
      </c>
      <c r="AL137" s="464">
        <f t="shared" si="85"/>
        <v>0.98399999999999999</v>
      </c>
      <c r="AM137" s="464">
        <f t="shared" si="86"/>
        <v>0.82265384615384629</v>
      </c>
      <c r="AN137" s="464">
        <f t="shared" si="114"/>
        <v>1.056</v>
      </c>
      <c r="AO137" s="464">
        <f t="shared" si="115"/>
        <v>5.4189674493255238</v>
      </c>
      <c r="AP137" s="100">
        <f t="shared" ref="AP137:AP200" si="130">Vout*H137</f>
        <v>151.04000000000002</v>
      </c>
      <c r="AQ137" s="10">
        <f t="shared" si="116"/>
        <v>0.96536492897998549</v>
      </c>
      <c r="AR137" s="77">
        <f t="shared" si="117"/>
        <v>59.679661672452269</v>
      </c>
      <c r="AS137" s="77">
        <f t="shared" si="118"/>
        <v>23.779160800984432</v>
      </c>
      <c r="AT137" s="10"/>
      <c r="AU137">
        <f t="shared" si="119"/>
        <v>96.536492897998556</v>
      </c>
    </row>
    <row r="138" spans="7:47" x14ac:dyDescent="0.2">
      <c r="G138">
        <v>129</v>
      </c>
      <c r="H138">
        <f t="shared" si="120"/>
        <v>12.9</v>
      </c>
      <c r="I138" s="463">
        <f t="shared" si="97"/>
        <v>0.49532166666666672</v>
      </c>
      <c r="J138" s="464">
        <f t="shared" si="121"/>
        <v>8.0572324444444448</v>
      </c>
      <c r="K138" s="464">
        <f t="shared" ref="K138:K201" si="131">H138+J138/2</f>
        <v>16.928616222222225</v>
      </c>
      <c r="L138" s="464">
        <f t="shared" si="98"/>
        <v>8.871383777777778</v>
      </c>
      <c r="M138" s="77">
        <f t="shared" si="122"/>
        <v>0</v>
      </c>
      <c r="N138" s="463">
        <f t="shared" si="99"/>
        <v>13.108009620914382</v>
      </c>
      <c r="O138" s="463">
        <f t="shared" si="100"/>
        <v>0.92250121360439441</v>
      </c>
      <c r="P138">
        <f t="shared" si="123"/>
        <v>0.5</v>
      </c>
      <c r="Q138" s="463">
        <f t="shared" ref="Q138:Q201" si="132">O138+P138</f>
        <v>1.4225012136043944</v>
      </c>
      <c r="R138" s="9">
        <f t="shared" si="101"/>
        <v>2.3259226603616936</v>
      </c>
      <c r="S138" s="9">
        <f t="shared" si="102"/>
        <v>1.6229748665952056E-2</v>
      </c>
      <c r="T138" s="9">
        <f t="shared" si="103"/>
        <v>1.6229748665952056E-2</v>
      </c>
      <c r="U138" s="463">
        <f t="shared" si="104"/>
        <v>9.2252982211742172</v>
      </c>
      <c r="V138" s="465">
        <f t="shared" si="105"/>
        <v>0.85106127269600185</v>
      </c>
      <c r="W138" s="463">
        <f t="shared" si="106"/>
        <v>0.85106127269600185</v>
      </c>
      <c r="X138" s="463">
        <f t="shared" si="107"/>
        <v>9.2252982211742172</v>
      </c>
      <c r="Y138" s="463">
        <f t="shared" si="108"/>
        <v>0.15319102908528032</v>
      </c>
      <c r="Z138" s="463">
        <f t="shared" si="124"/>
        <v>0.98359670005852418</v>
      </c>
      <c r="AA138" s="463">
        <f t="shared" si="125"/>
        <v>2.9999999999999992E-2</v>
      </c>
      <c r="AB138" s="463">
        <f t="shared" si="126"/>
        <v>0</v>
      </c>
      <c r="AC138" s="463">
        <f t="shared" si="109"/>
        <v>1.2036658924929748</v>
      </c>
      <c r="AD138" s="463">
        <f t="shared" si="110"/>
        <v>9.312023891312986</v>
      </c>
      <c r="AE138" s="463">
        <f t="shared" si="111"/>
        <v>0.15608482011429092</v>
      </c>
      <c r="AF138" s="463">
        <f t="shared" si="127"/>
        <v>0.30960000000000004</v>
      </c>
      <c r="AG138" s="463">
        <f t="shared" si="112"/>
        <v>0.48069051874405311</v>
      </c>
      <c r="AH138" s="463">
        <f t="shared" si="113"/>
        <v>0</v>
      </c>
      <c r="AI138">
        <f t="shared" si="128"/>
        <v>0</v>
      </c>
      <c r="AJ138" s="464">
        <f t="shared" si="129"/>
        <v>0.43158204</v>
      </c>
      <c r="AK138">
        <f t="shared" ref="AK138:AK201" si="133">Iq*Vin</f>
        <v>7.2000000000000008E-2</v>
      </c>
      <c r="AL138" s="464">
        <f t="shared" ref="AL138:AL201" si="134">Vin*(QgTop+QgBot)*Fsw</f>
        <v>0.98399999999999999</v>
      </c>
      <c r="AM138" s="464">
        <f t="shared" ref="AM138:AM201" si="135">(Vin-Vdd)*Fsw*(QgTop+QgBot)+(RdsonDRT+RdsonDRT2)*Fsw*QgTop*Vdd/(RdsonDRT+2*RGateTop+RdsonDRT2)+(RdsonDRB+RdsonDRB2)*Fsw*QgBot*Vdd/(RdsonDRB+2*RGateBot+RdsonDRB2)</f>
        <v>0.82265384615384629</v>
      </c>
      <c r="AN138" s="464">
        <f t="shared" si="114"/>
        <v>1.056</v>
      </c>
      <c r="AO138" s="464">
        <f t="shared" si="115"/>
        <v>5.4617306862033752</v>
      </c>
      <c r="AP138" s="100">
        <f t="shared" si="130"/>
        <v>152.22000000000003</v>
      </c>
      <c r="AQ138" s="10">
        <f t="shared" si="116"/>
        <v>0.96536231139501782</v>
      </c>
      <c r="AR138" s="77">
        <f t="shared" si="117"/>
        <v>60.183294624648745</v>
      </c>
      <c r="AS138" s="77">
        <f t="shared" si="118"/>
        <v>24.034525937202655</v>
      </c>
      <c r="AT138" s="10"/>
      <c r="AU138">
        <f t="shared" si="119"/>
        <v>96.53623113950178</v>
      </c>
    </row>
    <row r="139" spans="7:47" x14ac:dyDescent="0.2">
      <c r="G139">
        <v>130</v>
      </c>
      <c r="H139">
        <f t="shared" si="120"/>
        <v>13</v>
      </c>
      <c r="I139" s="463">
        <f t="shared" si="97"/>
        <v>0.49535000000000001</v>
      </c>
      <c r="J139" s="464">
        <f t="shared" si="121"/>
        <v>8.0576933333333329</v>
      </c>
      <c r="K139" s="464">
        <f t="shared" si="131"/>
        <v>17.028846666666666</v>
      </c>
      <c r="L139" s="464">
        <f t="shared" si="98"/>
        <v>8.9711533333333335</v>
      </c>
      <c r="M139" s="77">
        <f t="shared" si="122"/>
        <v>0</v>
      </c>
      <c r="N139" s="463">
        <f t="shared" si="99"/>
        <v>13.20645808513788</v>
      </c>
      <c r="O139" s="463">
        <f t="shared" si="100"/>
        <v>0.93745337360140479</v>
      </c>
      <c r="P139">
        <f t="shared" si="123"/>
        <v>0.5</v>
      </c>
      <c r="Q139" s="463">
        <f t="shared" si="132"/>
        <v>1.4374533736014048</v>
      </c>
      <c r="R139" s="9">
        <f t="shared" si="101"/>
        <v>2.3260557075237265</v>
      </c>
      <c r="S139" s="9">
        <f t="shared" si="102"/>
        <v>1.6231605463511111E-2</v>
      </c>
      <c r="T139" s="9">
        <f t="shared" si="103"/>
        <v>1.6231605463511111E-2</v>
      </c>
      <c r="U139" s="463">
        <f t="shared" si="104"/>
        <v>9.2948511870165742</v>
      </c>
      <c r="V139" s="465">
        <f t="shared" si="105"/>
        <v>0.86394258588783412</v>
      </c>
      <c r="W139" s="463">
        <f t="shared" si="106"/>
        <v>0.86394258588783412</v>
      </c>
      <c r="X139" s="463">
        <f t="shared" si="107"/>
        <v>9.2948511870165742</v>
      </c>
      <c r="Y139" s="463">
        <f t="shared" si="108"/>
        <v>0.15550966545981015</v>
      </c>
      <c r="Z139" s="463">
        <f t="shared" si="124"/>
        <v>0.99051102719866091</v>
      </c>
      <c r="AA139" s="463">
        <f t="shared" si="125"/>
        <v>2.9999999999999992E-2</v>
      </c>
      <c r="AB139" s="463">
        <f t="shared" si="126"/>
        <v>0</v>
      </c>
      <c r="AC139" s="463">
        <f t="shared" si="109"/>
        <v>1.2137713272681054</v>
      </c>
      <c r="AD139" s="463">
        <f t="shared" si="110"/>
        <v>9.3816990234029731</v>
      </c>
      <c r="AE139" s="463">
        <f t="shared" si="111"/>
        <v>0.15842929781829654</v>
      </c>
      <c r="AF139" s="463">
        <f t="shared" si="127"/>
        <v>0.312</v>
      </c>
      <c r="AG139" s="463">
        <f t="shared" si="112"/>
        <v>0.48582301773091141</v>
      </c>
      <c r="AH139" s="463">
        <f t="shared" si="113"/>
        <v>0</v>
      </c>
      <c r="AI139">
        <f t="shared" si="128"/>
        <v>0</v>
      </c>
      <c r="AJ139" s="464">
        <f t="shared" si="129"/>
        <v>0.43157879999999998</v>
      </c>
      <c r="AK139">
        <f t="shared" si="133"/>
        <v>7.2000000000000008E-2</v>
      </c>
      <c r="AL139" s="464">
        <f t="shared" si="134"/>
        <v>0.98399999999999999</v>
      </c>
      <c r="AM139" s="464">
        <f t="shared" si="135"/>
        <v>0.82265384615384629</v>
      </c>
      <c r="AN139" s="464">
        <f t="shared" si="114"/>
        <v>1.056</v>
      </c>
      <c r="AO139" s="464">
        <f t="shared" si="115"/>
        <v>5.5048007099517671</v>
      </c>
      <c r="AP139" s="100">
        <f t="shared" si="130"/>
        <v>153.4</v>
      </c>
      <c r="AQ139" s="10">
        <f t="shared" si="116"/>
        <v>0.96535787033898579</v>
      </c>
      <c r="AR139" s="77">
        <f t="shared" si="117"/>
        <v>60.688566363405272</v>
      </c>
      <c r="AS139" s="77">
        <f t="shared" si="118"/>
        <v>24.291150886545569</v>
      </c>
      <c r="AT139" s="10"/>
      <c r="AU139">
        <f t="shared" si="119"/>
        <v>96.535787033898572</v>
      </c>
    </row>
    <row r="140" spans="7:47" x14ac:dyDescent="0.2">
      <c r="G140">
        <v>131</v>
      </c>
      <c r="H140">
        <f t="shared" si="120"/>
        <v>13.100000000000001</v>
      </c>
      <c r="I140" s="463">
        <f t="shared" si="97"/>
        <v>0.49537833333333342</v>
      </c>
      <c r="J140" s="464">
        <f t="shared" si="121"/>
        <v>8.0581542222222229</v>
      </c>
      <c r="K140" s="464">
        <f t="shared" si="131"/>
        <v>17.129077111111112</v>
      </c>
      <c r="L140" s="464">
        <f t="shared" si="98"/>
        <v>9.0709228888888909</v>
      </c>
      <c r="M140" s="77">
        <f t="shared" si="122"/>
        <v>0</v>
      </c>
      <c r="N140" s="463">
        <f t="shared" si="99"/>
        <v>13.304929692502194</v>
      </c>
      <c r="O140" s="463">
        <f t="shared" si="100"/>
        <v>0.9525547038265838</v>
      </c>
      <c r="P140">
        <f t="shared" si="123"/>
        <v>0.5</v>
      </c>
      <c r="Q140" s="463">
        <f t="shared" si="132"/>
        <v>1.4525547038265838</v>
      </c>
      <c r="R140" s="9">
        <f t="shared" si="101"/>
        <v>2.3261887546857603</v>
      </c>
      <c r="S140" s="9">
        <f t="shared" si="102"/>
        <v>1.6233462367279464E-2</v>
      </c>
      <c r="T140" s="9">
        <f t="shared" si="103"/>
        <v>1.6233462367279464E-2</v>
      </c>
      <c r="U140" s="463">
        <f t="shared" si="104"/>
        <v>9.3644243973621144</v>
      </c>
      <c r="V140" s="465">
        <f t="shared" si="105"/>
        <v>0.87692444293910798</v>
      </c>
      <c r="W140" s="463">
        <f t="shared" si="106"/>
        <v>0.87692444293910798</v>
      </c>
      <c r="X140" s="463">
        <f t="shared" si="107"/>
        <v>9.3644243973621144</v>
      </c>
      <c r="Y140" s="463">
        <f t="shared" si="108"/>
        <v>0.15784639972903944</v>
      </c>
      <c r="Z140" s="463">
        <f t="shared" si="124"/>
        <v>0.99742535433879798</v>
      </c>
      <c r="AA140" s="463">
        <f t="shared" si="125"/>
        <v>2.9999999999999992E-2</v>
      </c>
      <c r="AB140" s="463">
        <f t="shared" si="126"/>
        <v>0</v>
      </c>
      <c r="AC140" s="463">
        <f t="shared" si="109"/>
        <v>1.22390970208123</v>
      </c>
      <c r="AD140" s="463">
        <f t="shared" si="110"/>
        <v>9.4513866616764606</v>
      </c>
      <c r="AE140" s="463">
        <f t="shared" si="111"/>
        <v>0.16079167769132827</v>
      </c>
      <c r="AF140" s="463">
        <f t="shared" si="127"/>
        <v>0.31440000000000007</v>
      </c>
      <c r="AG140" s="463">
        <f t="shared" si="112"/>
        <v>0.49098080310027403</v>
      </c>
      <c r="AH140" s="463">
        <f t="shared" si="113"/>
        <v>0</v>
      </c>
      <c r="AI140">
        <f t="shared" si="128"/>
        <v>0</v>
      </c>
      <c r="AJ140" s="464">
        <f t="shared" si="129"/>
        <v>0.43157555999999997</v>
      </c>
      <c r="AK140">
        <f t="shared" si="133"/>
        <v>7.2000000000000008E-2</v>
      </c>
      <c r="AL140" s="464">
        <f t="shared" si="134"/>
        <v>0.98399999999999999</v>
      </c>
      <c r="AM140" s="464">
        <f t="shared" si="135"/>
        <v>0.82265384615384629</v>
      </c>
      <c r="AN140" s="464">
        <f t="shared" si="114"/>
        <v>1.056</v>
      </c>
      <c r="AO140" s="464">
        <f t="shared" si="115"/>
        <v>5.5481786743144754</v>
      </c>
      <c r="AP140" s="100">
        <f t="shared" si="130"/>
        <v>154.58000000000001</v>
      </c>
      <c r="AQ140" s="10">
        <f t="shared" si="116"/>
        <v>0.96535164066532642</v>
      </c>
      <c r="AR140" s="77">
        <f t="shared" si="117"/>
        <v>61.195485104061497</v>
      </c>
      <c r="AS140" s="77">
        <f t="shared" si="118"/>
        <v>24.549040155013703</v>
      </c>
      <c r="AT140" s="10"/>
      <c r="AU140">
        <f t="shared" si="119"/>
        <v>96.535164066532644</v>
      </c>
    </row>
    <row r="141" spans="7:47" x14ac:dyDescent="0.2">
      <c r="G141">
        <v>132</v>
      </c>
      <c r="H141">
        <f t="shared" si="120"/>
        <v>13.200000000000001</v>
      </c>
      <c r="I141" s="463">
        <f t="shared" si="97"/>
        <v>0.49540666666666672</v>
      </c>
      <c r="J141" s="464">
        <f t="shared" si="121"/>
        <v>8.0586151111111111</v>
      </c>
      <c r="K141" s="464">
        <f t="shared" si="131"/>
        <v>17.229307555555557</v>
      </c>
      <c r="L141" s="464">
        <f t="shared" si="98"/>
        <v>9.1706924444444446</v>
      </c>
      <c r="M141" s="77">
        <f t="shared" si="122"/>
        <v>0</v>
      </c>
      <c r="N141" s="463">
        <f t="shared" si="99"/>
        <v>13.403423932926707</v>
      </c>
      <c r="O141" s="463">
        <f t="shared" si="100"/>
        <v>0.96780609826699482</v>
      </c>
      <c r="P141">
        <f t="shared" si="123"/>
        <v>0.5</v>
      </c>
      <c r="Q141" s="463">
        <f t="shared" si="132"/>
        <v>1.4678060982669949</v>
      </c>
      <c r="R141" s="9">
        <f t="shared" si="101"/>
        <v>2.3263218018477931</v>
      </c>
      <c r="S141" s="9">
        <f t="shared" si="102"/>
        <v>1.6235319377257088E-2</v>
      </c>
      <c r="T141" s="9">
        <f t="shared" si="103"/>
        <v>1.6235319377257088E-2</v>
      </c>
      <c r="U141" s="463">
        <f t="shared" si="104"/>
        <v>9.4340174944180202</v>
      </c>
      <c r="V141" s="465">
        <f t="shared" si="105"/>
        <v>0.89000686084985259</v>
      </c>
      <c r="W141" s="463">
        <f t="shared" si="106"/>
        <v>0.89000686084985259</v>
      </c>
      <c r="X141" s="463">
        <f t="shared" si="107"/>
        <v>9.4340174944180202</v>
      </c>
      <c r="Y141" s="463">
        <f t="shared" si="108"/>
        <v>0.16020123495297348</v>
      </c>
      <c r="Z141" s="463">
        <f t="shared" si="124"/>
        <v>1.0043396814789352</v>
      </c>
      <c r="AA141" s="463">
        <f t="shared" si="125"/>
        <v>2.9999999999999992E-2</v>
      </c>
      <c r="AB141" s="463">
        <f t="shared" si="126"/>
        <v>0</v>
      </c>
      <c r="AC141" s="463">
        <f t="shared" si="109"/>
        <v>1.234081182319883</v>
      </c>
      <c r="AD141" s="463">
        <f t="shared" si="110"/>
        <v>9.5210864422484445</v>
      </c>
      <c r="AE141" s="463">
        <f t="shared" si="111"/>
        <v>0.16317195667338083</v>
      </c>
      <c r="AF141" s="463">
        <f t="shared" si="127"/>
        <v>0.31680000000000003</v>
      </c>
      <c r="AG141" s="463">
        <f t="shared" si="112"/>
        <v>0.4961639656960713</v>
      </c>
      <c r="AH141" s="463">
        <f t="shared" si="113"/>
        <v>0</v>
      </c>
      <c r="AI141">
        <f t="shared" si="128"/>
        <v>0</v>
      </c>
      <c r="AJ141" s="464">
        <f t="shared" si="129"/>
        <v>0.43157231999999995</v>
      </c>
      <c r="AK141">
        <f t="shared" si="133"/>
        <v>7.2000000000000008E-2</v>
      </c>
      <c r="AL141" s="464">
        <f t="shared" si="134"/>
        <v>0.98399999999999999</v>
      </c>
      <c r="AM141" s="464">
        <f t="shared" si="135"/>
        <v>0.82265384615384629</v>
      </c>
      <c r="AN141" s="464">
        <f t="shared" si="114"/>
        <v>1.056</v>
      </c>
      <c r="AO141" s="464">
        <f t="shared" si="115"/>
        <v>5.5918657465100594</v>
      </c>
      <c r="AP141" s="100">
        <f t="shared" si="130"/>
        <v>155.76000000000002</v>
      </c>
      <c r="AQ141" s="10">
        <f t="shared" si="116"/>
        <v>0.96534365611058326</v>
      </c>
      <c r="AR141" s="77">
        <f t="shared" si="117"/>
        <v>61.704059115994148</v>
      </c>
      <c r="AS141" s="77">
        <f t="shared" si="118"/>
        <v>24.808198284803566</v>
      </c>
      <c r="AT141" s="10"/>
      <c r="AU141">
        <f t="shared" si="119"/>
        <v>96.53436561105832</v>
      </c>
    </row>
    <row r="142" spans="7:47" x14ac:dyDescent="0.2">
      <c r="G142">
        <v>133</v>
      </c>
      <c r="H142">
        <f t="shared" si="120"/>
        <v>13.3</v>
      </c>
      <c r="I142" s="463">
        <f t="shared" si="97"/>
        <v>0.49543500000000001</v>
      </c>
      <c r="J142" s="464">
        <f t="shared" si="121"/>
        <v>8.0590759999999992</v>
      </c>
      <c r="K142" s="464">
        <f t="shared" si="131"/>
        <v>17.329537999999999</v>
      </c>
      <c r="L142" s="464">
        <f t="shared" si="98"/>
        <v>9.270462000000002</v>
      </c>
      <c r="M142" s="77">
        <f t="shared" si="122"/>
        <v>0</v>
      </c>
      <c r="N142" s="463">
        <f t="shared" si="99"/>
        <v>13.501940311099045</v>
      </c>
      <c r="O142" s="463">
        <f t="shared" si="100"/>
        <v>0.98320846272269047</v>
      </c>
      <c r="P142">
        <f t="shared" si="123"/>
        <v>0.5</v>
      </c>
      <c r="Q142" s="463">
        <f t="shared" si="132"/>
        <v>1.4832084627226905</v>
      </c>
      <c r="R142" s="9">
        <f t="shared" si="101"/>
        <v>2.326454849009826</v>
      </c>
      <c r="S142" s="9">
        <f t="shared" si="102"/>
        <v>1.6237176493443996E-2</v>
      </c>
      <c r="T142" s="9">
        <f t="shared" si="103"/>
        <v>1.6237176493443996E-2</v>
      </c>
      <c r="U142" s="463">
        <f t="shared" si="104"/>
        <v>9.5036301307452948</v>
      </c>
      <c r="V142" s="465">
        <f t="shared" si="105"/>
        <v>0.90318985662009843</v>
      </c>
      <c r="W142" s="463">
        <f t="shared" si="106"/>
        <v>0.90318985662009843</v>
      </c>
      <c r="X142" s="463">
        <f t="shared" si="107"/>
        <v>9.5036301307452948</v>
      </c>
      <c r="Y142" s="463">
        <f t="shared" si="108"/>
        <v>0.16257417419161771</v>
      </c>
      <c r="Z142" s="463">
        <f t="shared" si="124"/>
        <v>1.011254008619072</v>
      </c>
      <c r="AA142" s="463">
        <f t="shared" si="125"/>
        <v>2.9999999999999992E-2</v>
      </c>
      <c r="AB142" s="463">
        <f t="shared" si="126"/>
        <v>0</v>
      </c>
      <c r="AC142" s="463">
        <f t="shared" si="109"/>
        <v>1.2442859344613497</v>
      </c>
      <c r="AD142" s="463">
        <f t="shared" si="110"/>
        <v>9.5907980117647949</v>
      </c>
      <c r="AE142" s="463">
        <f t="shared" si="111"/>
        <v>0.16557013170444876</v>
      </c>
      <c r="AF142" s="463">
        <f t="shared" si="127"/>
        <v>0.31920000000000004</v>
      </c>
      <c r="AG142" s="463">
        <f t="shared" si="112"/>
        <v>0.50137259709112469</v>
      </c>
      <c r="AH142" s="463">
        <f t="shared" si="113"/>
        <v>0</v>
      </c>
      <c r="AI142">
        <f t="shared" si="128"/>
        <v>0</v>
      </c>
      <c r="AJ142" s="464">
        <f t="shared" si="129"/>
        <v>0.43156907999999999</v>
      </c>
      <c r="AK142">
        <f t="shared" si="133"/>
        <v>7.2000000000000008E-2</v>
      </c>
      <c r="AL142" s="464">
        <f t="shared" si="134"/>
        <v>0.98399999999999999</v>
      </c>
      <c r="AM142" s="464">
        <f t="shared" si="135"/>
        <v>0.82265384615384629</v>
      </c>
      <c r="AN142" s="464">
        <f t="shared" si="114"/>
        <v>1.056</v>
      </c>
      <c r="AO142" s="464">
        <f t="shared" si="115"/>
        <v>5.6358631073887073</v>
      </c>
      <c r="AP142" s="100">
        <f t="shared" si="130"/>
        <v>156.94000000000003</v>
      </c>
      <c r="AQ142" s="10">
        <f t="shared" si="116"/>
        <v>0.96533394933498862</v>
      </c>
      <c r="AR142" s="77">
        <f t="shared" si="117"/>
        <v>62.214296723067484</v>
      </c>
      <c r="AS142" s="77">
        <f t="shared" si="118"/>
        <v>25.068629854556235</v>
      </c>
      <c r="AT142" s="10"/>
      <c r="AU142">
        <f t="shared" si="119"/>
        <v>96.533394933498869</v>
      </c>
    </row>
    <row r="143" spans="7:47" x14ac:dyDescent="0.2">
      <c r="G143">
        <v>134</v>
      </c>
      <c r="H143">
        <f t="shared" si="120"/>
        <v>13.4</v>
      </c>
      <c r="I143" s="463">
        <f t="shared" si="97"/>
        <v>0.49546333333333337</v>
      </c>
      <c r="J143" s="464">
        <f t="shared" si="121"/>
        <v>8.0595368888888892</v>
      </c>
      <c r="K143" s="464">
        <f t="shared" si="131"/>
        <v>17.429768444444445</v>
      </c>
      <c r="L143" s="464">
        <f t="shared" si="98"/>
        <v>9.3702315555555558</v>
      </c>
      <c r="M143" s="77">
        <f t="shared" si="122"/>
        <v>0</v>
      </c>
      <c r="N143" s="463">
        <f t="shared" si="99"/>
        <v>13.600478345948476</v>
      </c>
      <c r="O143" s="463">
        <f t="shared" si="100"/>
        <v>0.99876271495208291</v>
      </c>
      <c r="P143">
        <f t="shared" si="123"/>
        <v>0.5</v>
      </c>
      <c r="Q143" s="463">
        <f t="shared" si="132"/>
        <v>1.498762714952083</v>
      </c>
      <c r="R143" s="9">
        <f t="shared" si="101"/>
        <v>2.3265878961718598</v>
      </c>
      <c r="S143" s="9">
        <f t="shared" si="102"/>
        <v>1.6239033715840203E-2</v>
      </c>
      <c r="T143" s="9">
        <f t="shared" si="103"/>
        <v>1.6239033715840203E-2</v>
      </c>
      <c r="U143" s="463">
        <f t="shared" si="104"/>
        <v>9.573261968889577</v>
      </c>
      <c r="V143" s="465">
        <f t="shared" si="105"/>
        <v>0.91647344724987545</v>
      </c>
      <c r="W143" s="463">
        <f t="shared" si="106"/>
        <v>0.91647344724987545</v>
      </c>
      <c r="X143" s="463">
        <f t="shared" si="107"/>
        <v>9.573261968889577</v>
      </c>
      <c r="Y143" s="463">
        <f t="shared" si="108"/>
        <v>0.16496522050497758</v>
      </c>
      <c r="Z143" s="463">
        <f t="shared" si="124"/>
        <v>1.0181683357592091</v>
      </c>
      <c r="AA143" s="463">
        <f t="shared" si="125"/>
        <v>2.9999999999999992E-2</v>
      </c>
      <c r="AB143" s="463">
        <f t="shared" si="126"/>
        <v>0</v>
      </c>
      <c r="AC143" s="463">
        <f t="shared" si="109"/>
        <v>1.2545241260817654</v>
      </c>
      <c r="AD143" s="463">
        <f t="shared" si="110"/>
        <v>9.6605210270267445</v>
      </c>
      <c r="AE143" s="463">
        <f t="shared" si="111"/>
        <v>0.16798619972452655</v>
      </c>
      <c r="AF143" s="463">
        <f t="shared" si="127"/>
        <v>0.3216</v>
      </c>
      <c r="AG143" s="463">
        <f t="shared" si="112"/>
        <v>0.50660678959217287</v>
      </c>
      <c r="AH143" s="463">
        <f t="shared" si="113"/>
        <v>0</v>
      </c>
      <c r="AI143">
        <f t="shared" si="128"/>
        <v>0</v>
      </c>
      <c r="AJ143" s="464">
        <f t="shared" si="129"/>
        <v>0.43156583999999998</v>
      </c>
      <c r="AK143">
        <f t="shared" si="133"/>
        <v>7.2000000000000008E-2</v>
      </c>
      <c r="AL143" s="464">
        <f t="shared" si="134"/>
        <v>0.98399999999999999</v>
      </c>
      <c r="AM143" s="464">
        <f t="shared" si="135"/>
        <v>0.82265384615384629</v>
      </c>
      <c r="AN143" s="464">
        <f t="shared" si="114"/>
        <v>1.056</v>
      </c>
      <c r="AO143" s="464">
        <f t="shared" si="115"/>
        <v>5.6801719515917366</v>
      </c>
      <c r="AP143" s="100">
        <f t="shared" si="130"/>
        <v>158.12</v>
      </c>
      <c r="AQ143" s="10">
        <f t="shared" si="116"/>
        <v>0.96532255196123717</v>
      </c>
      <c r="AR143" s="77">
        <f t="shared" si="117"/>
        <v>62.726206304088272</v>
      </c>
      <c r="AS143" s="77">
        <f t="shared" si="118"/>
        <v>25.330339479608643</v>
      </c>
      <c r="AT143" s="10"/>
      <c r="AU143">
        <f t="shared" si="119"/>
        <v>96.532255196123714</v>
      </c>
    </row>
    <row r="144" spans="7:47" x14ac:dyDescent="0.2">
      <c r="G144">
        <v>135</v>
      </c>
      <c r="H144">
        <f t="shared" si="120"/>
        <v>13.5</v>
      </c>
      <c r="I144" s="463">
        <f t="shared" si="97"/>
        <v>0.49549166666666672</v>
      </c>
      <c r="J144" s="464">
        <f t="shared" si="121"/>
        <v>8.0599977777777791</v>
      </c>
      <c r="K144" s="464">
        <f t="shared" si="131"/>
        <v>17.52999888888889</v>
      </c>
      <c r="L144" s="464">
        <f t="shared" si="98"/>
        <v>9.4700011111111095</v>
      </c>
      <c r="M144" s="77">
        <f t="shared" si="122"/>
        <v>0</v>
      </c>
      <c r="N144" s="463">
        <f t="shared" si="99"/>
        <v>13.699037570141508</v>
      </c>
      <c r="O144" s="463">
        <f t="shared" si="100"/>
        <v>1.0144697848198632</v>
      </c>
      <c r="P144">
        <f t="shared" si="123"/>
        <v>0.5</v>
      </c>
      <c r="Q144" s="463">
        <f t="shared" si="132"/>
        <v>1.5144697848198632</v>
      </c>
      <c r="R144" s="9">
        <f t="shared" si="101"/>
        <v>2.3267209433338931</v>
      </c>
      <c r="S144" s="9">
        <f t="shared" si="102"/>
        <v>1.6240891044445687E-2</v>
      </c>
      <c r="T144" s="9">
        <f t="shared" si="103"/>
        <v>1.6240891044445687E-2</v>
      </c>
      <c r="U144" s="463">
        <f t="shared" si="104"/>
        <v>9.6429126810275214</v>
      </c>
      <c r="V144" s="465">
        <f t="shared" si="105"/>
        <v>0.92985764973921381</v>
      </c>
      <c r="W144" s="463">
        <f t="shared" si="106"/>
        <v>0.92985764973921381</v>
      </c>
      <c r="X144" s="463">
        <f t="shared" si="107"/>
        <v>9.6429126810275214</v>
      </c>
      <c r="Y144" s="463">
        <f t="shared" si="108"/>
        <v>0.16737437695305848</v>
      </c>
      <c r="Z144" s="463">
        <f t="shared" si="124"/>
        <v>1.0250826628993464</v>
      </c>
      <c r="AA144" s="463">
        <f t="shared" si="125"/>
        <v>2.9999999999999992E-2</v>
      </c>
      <c r="AB144" s="463">
        <f t="shared" si="126"/>
        <v>0</v>
      </c>
      <c r="AC144" s="463">
        <f t="shared" si="109"/>
        <v>1.264795925865299</v>
      </c>
      <c r="AD144" s="463">
        <f t="shared" si="110"/>
        <v>9.730255154631207</v>
      </c>
      <c r="AE144" s="463">
        <f t="shared" si="111"/>
        <v>0.17042015767360894</v>
      </c>
      <c r="AF144" s="463">
        <f t="shared" si="127"/>
        <v>0.32400000000000001</v>
      </c>
      <c r="AG144" s="463">
        <f t="shared" si="112"/>
        <v>0.51186663624495388</v>
      </c>
      <c r="AH144" s="463">
        <f t="shared" si="113"/>
        <v>0</v>
      </c>
      <c r="AI144">
        <f t="shared" si="128"/>
        <v>0</v>
      </c>
      <c r="AJ144" s="464">
        <f t="shared" si="129"/>
        <v>0.43156259999999996</v>
      </c>
      <c r="AK144">
        <f t="shared" si="133"/>
        <v>7.2000000000000008E-2</v>
      </c>
      <c r="AL144" s="464">
        <f t="shared" si="134"/>
        <v>0.98399999999999999</v>
      </c>
      <c r="AM144" s="464">
        <f t="shared" si="135"/>
        <v>0.82265384615384629</v>
      </c>
      <c r="AN144" s="464">
        <f t="shared" si="114"/>
        <v>1.056</v>
      </c>
      <c r="AO144" s="464">
        <f t="shared" si="115"/>
        <v>5.7247934877137761</v>
      </c>
      <c r="AP144" s="100">
        <f t="shared" si="130"/>
        <v>159.30000000000001</v>
      </c>
      <c r="AQ144" s="10">
        <f t="shared" si="116"/>
        <v>0.96530949461154758</v>
      </c>
      <c r="AR144" s="77">
        <f t="shared" si="117"/>
        <v>63.239796293264952</v>
      </c>
      <c r="AS144" s="77">
        <f t="shared" si="118"/>
        <v>25.593331812247694</v>
      </c>
      <c r="AT144" s="10"/>
      <c r="AU144">
        <f t="shared" si="119"/>
        <v>96.530949461154762</v>
      </c>
    </row>
    <row r="145" spans="7:47" x14ac:dyDescent="0.2">
      <c r="G145">
        <v>136</v>
      </c>
      <c r="H145">
        <f t="shared" si="120"/>
        <v>13.600000000000001</v>
      </c>
      <c r="I145" s="463">
        <f t="shared" si="97"/>
        <v>0.49552000000000002</v>
      </c>
      <c r="J145" s="464">
        <f t="shared" si="121"/>
        <v>8.0604586666666673</v>
      </c>
      <c r="K145" s="464">
        <f t="shared" si="131"/>
        <v>17.630229333333336</v>
      </c>
      <c r="L145" s="464">
        <f t="shared" si="98"/>
        <v>9.5697706666666669</v>
      </c>
      <c r="M145" s="77">
        <f t="shared" si="122"/>
        <v>0</v>
      </c>
      <c r="N145" s="463">
        <f t="shared" si="99"/>
        <v>13.797617529598611</v>
      </c>
      <c r="O145" s="463">
        <f t="shared" si="100"/>
        <v>1.0303306144475128</v>
      </c>
      <c r="P145">
        <f t="shared" si="123"/>
        <v>0.5</v>
      </c>
      <c r="Q145" s="463">
        <f t="shared" si="132"/>
        <v>1.5303306144475128</v>
      </c>
      <c r="R145" s="9">
        <f t="shared" si="101"/>
        <v>2.3268539904959264</v>
      </c>
      <c r="S145" s="9">
        <f t="shared" si="102"/>
        <v>1.6242748479260449E-2</v>
      </c>
      <c r="T145" s="9">
        <f t="shared" si="103"/>
        <v>1.6242748479260449E-2</v>
      </c>
      <c r="U145" s="463">
        <f t="shared" si="104"/>
        <v>9.7125819486279976</v>
      </c>
      <c r="V145" s="465">
        <f t="shared" si="105"/>
        <v>0.94334248108814434</v>
      </c>
      <c r="W145" s="463">
        <f t="shared" si="106"/>
        <v>0.94334248108814434</v>
      </c>
      <c r="X145" s="463">
        <f t="shared" si="107"/>
        <v>9.7125819486279976</v>
      </c>
      <c r="Y145" s="463">
        <f t="shared" si="108"/>
        <v>0.16980164659586597</v>
      </c>
      <c r="Z145" s="463">
        <f t="shared" si="124"/>
        <v>1.0319969900394832</v>
      </c>
      <c r="AA145" s="463">
        <f t="shared" si="125"/>
        <v>2.9999999999999992E-2</v>
      </c>
      <c r="AB145" s="463">
        <f t="shared" si="126"/>
        <v>0</v>
      </c>
      <c r="AC145" s="463">
        <f t="shared" si="109"/>
        <v>1.2751015036134346</v>
      </c>
      <c r="AD145" s="463">
        <f t="shared" si="110"/>
        <v>9.8000000706261474</v>
      </c>
      <c r="AE145" s="463">
        <f t="shared" si="111"/>
        <v>0.17287200249169049</v>
      </c>
      <c r="AF145" s="463">
        <f t="shared" si="127"/>
        <v>0.32640000000000002</v>
      </c>
      <c r="AG145" s="463">
        <f t="shared" si="112"/>
        <v>0.51715223083933881</v>
      </c>
      <c r="AH145" s="463">
        <f t="shared" si="113"/>
        <v>0</v>
      </c>
      <c r="AI145">
        <f t="shared" si="128"/>
        <v>0</v>
      </c>
      <c r="AJ145" s="464">
        <f t="shared" si="129"/>
        <v>0.43155935999999995</v>
      </c>
      <c r="AK145">
        <f t="shared" si="133"/>
        <v>7.2000000000000008E-2</v>
      </c>
      <c r="AL145" s="464">
        <f t="shared" si="134"/>
        <v>0.98399999999999999</v>
      </c>
      <c r="AM145" s="464">
        <f t="shared" si="135"/>
        <v>0.82265384615384629</v>
      </c>
      <c r="AN145" s="464">
        <f t="shared" si="114"/>
        <v>1.056</v>
      </c>
      <c r="AO145" s="464">
        <f t="shared" si="115"/>
        <v>5.7697289384676909</v>
      </c>
      <c r="AP145" s="100">
        <f t="shared" si="130"/>
        <v>160.48000000000002</v>
      </c>
      <c r="AQ145" s="10">
        <f t="shared" si="116"/>
        <v>0.96529480694309477</v>
      </c>
      <c r="AR145" s="77">
        <f t="shared" si="117"/>
        <v>63.755075180671724</v>
      </c>
      <c r="AS145" s="77">
        <f t="shared" si="118"/>
        <v>25.857611541966939</v>
      </c>
      <c r="AT145" s="10"/>
      <c r="AU145">
        <f t="shared" si="119"/>
        <v>96.529480694309484</v>
      </c>
    </row>
    <row r="146" spans="7:47" x14ac:dyDescent="0.2">
      <c r="G146">
        <v>137</v>
      </c>
      <c r="H146">
        <f t="shared" si="120"/>
        <v>13.700000000000001</v>
      </c>
      <c r="I146" s="463">
        <f t="shared" si="97"/>
        <v>0.49554833333333342</v>
      </c>
      <c r="J146" s="464">
        <f t="shared" si="121"/>
        <v>8.0609195555555555</v>
      </c>
      <c r="K146" s="464">
        <f t="shared" si="131"/>
        <v>17.730459777777778</v>
      </c>
      <c r="L146" s="464">
        <f t="shared" si="98"/>
        <v>9.6695402222222242</v>
      </c>
      <c r="M146" s="77">
        <f t="shared" si="122"/>
        <v>0</v>
      </c>
      <c r="N146" s="463">
        <f t="shared" si="99"/>
        <v>13.896217783031043</v>
      </c>
      <c r="O146" s="463">
        <f t="shared" si="100"/>
        <v>1.0463461583664617</v>
      </c>
      <c r="P146">
        <f t="shared" si="123"/>
        <v>0.5</v>
      </c>
      <c r="Q146" s="463">
        <f t="shared" si="132"/>
        <v>1.5463461583664617</v>
      </c>
      <c r="R146" s="9">
        <f t="shared" si="101"/>
        <v>2.3269870376579593</v>
      </c>
      <c r="S146" s="9">
        <f t="shared" si="102"/>
        <v>1.6244606020284495E-2</v>
      </c>
      <c r="T146" s="9">
        <f t="shared" si="103"/>
        <v>1.6244606020284495E-2</v>
      </c>
      <c r="U146" s="463">
        <f t="shared" si="104"/>
        <v>9.7822694621273634</v>
      </c>
      <c r="V146" s="465">
        <f t="shared" si="105"/>
        <v>0.95692795829669575</v>
      </c>
      <c r="W146" s="463">
        <f t="shared" si="106"/>
        <v>0.95692795829669575</v>
      </c>
      <c r="X146" s="463">
        <f t="shared" si="107"/>
        <v>9.7822694621273634</v>
      </c>
      <c r="Y146" s="463">
        <f t="shared" si="108"/>
        <v>0.17224703249340523</v>
      </c>
      <c r="Z146" s="463">
        <f t="shared" si="124"/>
        <v>1.0389113171796203</v>
      </c>
      <c r="AA146" s="463">
        <f t="shared" si="125"/>
        <v>2.9999999999999992E-2</v>
      </c>
      <c r="AB146" s="463">
        <f t="shared" si="126"/>
        <v>0</v>
      </c>
      <c r="AC146" s="463">
        <f t="shared" si="109"/>
        <v>1.2854410302543406</v>
      </c>
      <c r="AD146" s="463">
        <f t="shared" si="110"/>
        <v>9.8697554601802882</v>
      </c>
      <c r="AE146" s="463">
        <f t="shared" si="111"/>
        <v>0.1753417311187655</v>
      </c>
      <c r="AF146" s="463">
        <f t="shared" si="127"/>
        <v>0.32880000000000004</v>
      </c>
      <c r="AG146" s="463">
        <f t="shared" si="112"/>
        <v>0.52246366791452392</v>
      </c>
      <c r="AH146" s="463">
        <f t="shared" si="113"/>
        <v>0</v>
      </c>
      <c r="AI146">
        <f t="shared" si="128"/>
        <v>0</v>
      </c>
      <c r="AJ146" s="464">
        <f t="shared" si="129"/>
        <v>0.43155611999999993</v>
      </c>
      <c r="AK146">
        <f t="shared" si="133"/>
        <v>7.2000000000000008E-2</v>
      </c>
      <c r="AL146" s="464">
        <f t="shared" si="134"/>
        <v>0.98399999999999999</v>
      </c>
      <c r="AM146" s="464">
        <f t="shared" si="135"/>
        <v>0.82265384615384629</v>
      </c>
      <c r="AN146" s="464">
        <f t="shared" si="114"/>
        <v>1.056</v>
      </c>
      <c r="AO146" s="464">
        <f t="shared" si="115"/>
        <v>5.8149795408523062</v>
      </c>
      <c r="AP146" s="100">
        <f t="shared" si="130"/>
        <v>161.66000000000003</v>
      </c>
      <c r="AQ146" s="10">
        <f t="shared" si="116"/>
        <v>0.96527851768189732</v>
      </c>
      <c r="AR146" s="77">
        <f t="shared" si="117"/>
        <v>64.272051512717027</v>
      </c>
      <c r="AS146" s="77">
        <f t="shared" si="118"/>
        <v>26.123183395726198</v>
      </c>
      <c r="AT146" s="10"/>
      <c r="AU146">
        <f t="shared" si="119"/>
        <v>96.527851768189734</v>
      </c>
    </row>
    <row r="147" spans="7:47" x14ac:dyDescent="0.2">
      <c r="G147">
        <v>138</v>
      </c>
      <c r="H147">
        <f t="shared" si="120"/>
        <v>13.799999999999999</v>
      </c>
      <c r="I147" s="463">
        <f t="shared" si="97"/>
        <v>0.49557666666666672</v>
      </c>
      <c r="J147" s="464">
        <f t="shared" si="121"/>
        <v>8.0613804444444437</v>
      </c>
      <c r="K147" s="464">
        <f t="shared" si="131"/>
        <v>17.83069022222222</v>
      </c>
      <c r="L147" s="464">
        <f t="shared" si="98"/>
        <v>9.769309777777778</v>
      </c>
      <c r="M147" s="77">
        <f t="shared" si="122"/>
        <v>0</v>
      </c>
      <c r="N147" s="463">
        <f t="shared" si="99"/>
        <v>13.994837901496844</v>
      </c>
      <c r="O147" s="463">
        <f t="shared" si="100"/>
        <v>1.0625173836739374</v>
      </c>
      <c r="P147">
        <f t="shared" si="123"/>
        <v>0.5</v>
      </c>
      <c r="Q147" s="463">
        <f t="shared" si="132"/>
        <v>1.5625173836739374</v>
      </c>
      <c r="R147" s="9">
        <f t="shared" si="101"/>
        <v>2.3271200848199922</v>
      </c>
      <c r="S147" s="9">
        <f t="shared" si="102"/>
        <v>1.6246463667517825E-2</v>
      </c>
      <c r="T147" s="9">
        <f t="shared" si="103"/>
        <v>1.6246463667517825E-2</v>
      </c>
      <c r="U147" s="463">
        <f t="shared" si="104"/>
        <v>9.8519749206181935</v>
      </c>
      <c r="V147" s="465">
        <f t="shared" si="105"/>
        <v>0.97061409836489865</v>
      </c>
      <c r="W147" s="463">
        <f t="shared" si="106"/>
        <v>0.97061409836489865</v>
      </c>
      <c r="X147" s="463">
        <f t="shared" si="107"/>
        <v>9.8519749206181935</v>
      </c>
      <c r="Y147" s="463">
        <f t="shared" si="108"/>
        <v>0.17471053770568173</v>
      </c>
      <c r="Z147" s="463">
        <f t="shared" si="124"/>
        <v>1.0458256443197571</v>
      </c>
      <c r="AA147" s="463">
        <f t="shared" si="125"/>
        <v>2.9999999999999992E-2</v>
      </c>
      <c r="AB147" s="463">
        <f t="shared" si="126"/>
        <v>0</v>
      </c>
      <c r="AC147" s="463">
        <f t="shared" si="109"/>
        <v>1.2958146778523383</v>
      </c>
      <c r="AD147" s="463">
        <f t="shared" si="110"/>
        <v>9.9395210172665109</v>
      </c>
      <c r="AE147" s="463">
        <f t="shared" si="111"/>
        <v>0.17782934049482885</v>
      </c>
      <c r="AF147" s="463">
        <f t="shared" si="127"/>
        <v>0.33119999999999999</v>
      </c>
      <c r="AG147" s="463">
        <f t="shared" si="112"/>
        <v>0.52780104276427986</v>
      </c>
      <c r="AH147" s="463">
        <f t="shared" si="113"/>
        <v>0</v>
      </c>
      <c r="AI147">
        <f t="shared" si="128"/>
        <v>0</v>
      </c>
      <c r="AJ147" s="464">
        <f t="shared" si="129"/>
        <v>0.43155287999999997</v>
      </c>
      <c r="AK147">
        <f t="shared" si="133"/>
        <v>7.2000000000000008E-2</v>
      </c>
      <c r="AL147" s="464">
        <f t="shared" si="134"/>
        <v>0.98399999999999999</v>
      </c>
      <c r="AM147" s="464">
        <f t="shared" si="135"/>
        <v>0.82265384615384629</v>
      </c>
      <c r="AN147" s="464">
        <f t="shared" si="114"/>
        <v>1.056</v>
      </c>
      <c r="AO147" s="464">
        <f t="shared" si="115"/>
        <v>5.8605465463229729</v>
      </c>
      <c r="AP147" s="100">
        <f t="shared" si="130"/>
        <v>162.84</v>
      </c>
      <c r="AQ147" s="10">
        <f t="shared" si="116"/>
        <v>0.96526065465523703</v>
      </c>
      <c r="AR147" s="77">
        <f t="shared" si="117"/>
        <v>64.790733892616913</v>
      </c>
      <c r="AS147" s="77">
        <f t="shared" si="118"/>
        <v>26.390052138213992</v>
      </c>
      <c r="AT147" s="10"/>
      <c r="AU147">
        <f t="shared" si="119"/>
        <v>96.5260654655237</v>
      </c>
    </row>
    <row r="148" spans="7:47" x14ac:dyDescent="0.2">
      <c r="G148">
        <v>139</v>
      </c>
      <c r="H148">
        <f t="shared" si="120"/>
        <v>13.899999999999999</v>
      </c>
      <c r="I148" s="463">
        <f t="shared" si="97"/>
        <v>0.49560500000000002</v>
      </c>
      <c r="J148" s="464">
        <f t="shared" si="121"/>
        <v>8.0618413333333336</v>
      </c>
      <c r="K148" s="464">
        <f t="shared" si="131"/>
        <v>17.930920666666665</v>
      </c>
      <c r="L148" s="464">
        <f t="shared" si="98"/>
        <v>9.8690793333333318</v>
      </c>
      <c r="M148" s="77">
        <f t="shared" si="122"/>
        <v>0</v>
      </c>
      <c r="N148" s="463">
        <f t="shared" si="99"/>
        <v>14.093477467975038</v>
      </c>
      <c r="O148" s="463">
        <f t="shared" si="100"/>
        <v>1.078845270191559</v>
      </c>
      <c r="P148">
        <f t="shared" si="123"/>
        <v>0.5</v>
      </c>
      <c r="Q148" s="463">
        <f t="shared" si="132"/>
        <v>1.578845270191559</v>
      </c>
      <c r="R148" s="9">
        <f t="shared" si="101"/>
        <v>2.327253131982026</v>
      </c>
      <c r="S148" s="9">
        <f t="shared" si="102"/>
        <v>1.624832142096045E-2</v>
      </c>
      <c r="T148" s="9">
        <f t="shared" si="103"/>
        <v>1.624832142096045E-2</v>
      </c>
      <c r="U148" s="463">
        <f t="shared" si="104"/>
        <v>9.9216980315507666</v>
      </c>
      <c r="V148" s="465">
        <f t="shared" si="105"/>
        <v>0.98440091829278364</v>
      </c>
      <c r="W148" s="463">
        <f t="shared" si="106"/>
        <v>0.98440091829278364</v>
      </c>
      <c r="X148" s="463">
        <f t="shared" si="107"/>
        <v>9.9216980315507666</v>
      </c>
      <c r="Y148" s="463">
        <f t="shared" si="108"/>
        <v>0.17719216529270104</v>
      </c>
      <c r="Z148" s="463">
        <f t="shared" si="124"/>
        <v>1.0527399714598942</v>
      </c>
      <c r="AA148" s="463">
        <f t="shared" si="125"/>
        <v>2.9999999999999992E-2</v>
      </c>
      <c r="AB148" s="463">
        <f t="shared" si="126"/>
        <v>0</v>
      </c>
      <c r="AC148" s="463">
        <f t="shared" si="109"/>
        <v>1.3062226196174598</v>
      </c>
      <c r="AD148" s="463">
        <f t="shared" si="110"/>
        <v>10.009296444358203</v>
      </c>
      <c r="AE148" s="463">
        <f t="shared" si="111"/>
        <v>0.18033482755987515</v>
      </c>
      <c r="AF148" s="463">
        <f t="shared" si="127"/>
        <v>0.33359999999999995</v>
      </c>
      <c r="AG148" s="463">
        <f t="shared" si="112"/>
        <v>0.53316445144225399</v>
      </c>
      <c r="AH148" s="463">
        <f t="shared" si="113"/>
        <v>0</v>
      </c>
      <c r="AI148">
        <f t="shared" si="128"/>
        <v>0</v>
      </c>
      <c r="AJ148" s="464">
        <f t="shared" si="129"/>
        <v>0.43154963999999996</v>
      </c>
      <c r="AK148">
        <f t="shared" si="133"/>
        <v>7.2000000000000008E-2</v>
      </c>
      <c r="AL148" s="464">
        <f t="shared" si="134"/>
        <v>0.98399999999999999</v>
      </c>
      <c r="AM148" s="464">
        <f t="shared" si="135"/>
        <v>0.82265384615384629</v>
      </c>
      <c r="AN148" s="464">
        <f t="shared" si="114"/>
        <v>1.056</v>
      </c>
      <c r="AO148" s="464">
        <f t="shared" si="115"/>
        <v>5.9064312209650174</v>
      </c>
      <c r="AP148" s="100">
        <f t="shared" si="130"/>
        <v>164.01999999999998</v>
      </c>
      <c r="AQ148" s="10">
        <f t="shared" si="116"/>
        <v>0.96524124482268137</v>
      </c>
      <c r="AR148" s="77">
        <f t="shared" si="117"/>
        <v>65.311130980872989</v>
      </c>
      <c r="AS148" s="77">
        <f t="shared" si="118"/>
        <v>26.658222572112699</v>
      </c>
      <c r="AT148" s="10"/>
      <c r="AU148">
        <f t="shared" si="119"/>
        <v>96.524124482268135</v>
      </c>
    </row>
    <row r="149" spans="7:47" x14ac:dyDescent="0.2">
      <c r="G149">
        <v>140</v>
      </c>
      <c r="H149">
        <f t="shared" si="120"/>
        <v>14</v>
      </c>
      <c r="I149" s="463">
        <f t="shared" si="97"/>
        <v>0.49563333333333337</v>
      </c>
      <c r="J149" s="464">
        <f t="shared" si="121"/>
        <v>8.0623022222222218</v>
      </c>
      <c r="K149" s="464">
        <f t="shared" si="131"/>
        <v>18.031151111111111</v>
      </c>
      <c r="L149" s="464">
        <f t="shared" si="98"/>
        <v>9.9688488888888891</v>
      </c>
      <c r="M149" s="77">
        <f t="shared" si="122"/>
        <v>0</v>
      </c>
      <c r="N149" s="463">
        <f t="shared" si="99"/>
        <v>14.192136076957224</v>
      </c>
      <c r="O149" s="463">
        <f t="shared" si="100"/>
        <v>1.0953308106267241</v>
      </c>
      <c r="P149">
        <f t="shared" si="123"/>
        <v>0.5</v>
      </c>
      <c r="Q149" s="463">
        <f t="shared" si="132"/>
        <v>1.5953308106267241</v>
      </c>
      <c r="R149" s="9">
        <f t="shared" si="101"/>
        <v>2.3273861791440589</v>
      </c>
      <c r="S149" s="9">
        <f t="shared" si="102"/>
        <v>1.6250179280612342E-2</v>
      </c>
      <c r="T149" s="9">
        <f t="shared" si="103"/>
        <v>1.6250179280612342E-2</v>
      </c>
      <c r="U149" s="463">
        <f t="shared" si="104"/>
        <v>9.9914385104467343</v>
      </c>
      <c r="V149" s="465">
        <f t="shared" si="105"/>
        <v>0.99828843508038068</v>
      </c>
      <c r="W149" s="463">
        <f t="shared" si="106"/>
        <v>0.99828843508038068</v>
      </c>
      <c r="X149" s="463">
        <f t="shared" si="107"/>
        <v>9.9914385104467343</v>
      </c>
      <c r="Y149" s="463">
        <f t="shared" si="108"/>
        <v>0.17969191831446851</v>
      </c>
      <c r="Z149" s="463">
        <f t="shared" si="124"/>
        <v>1.0596542986000312</v>
      </c>
      <c r="AA149" s="463">
        <f t="shared" si="125"/>
        <v>2.9999999999999992E-2</v>
      </c>
      <c r="AB149" s="463">
        <f t="shared" si="126"/>
        <v>0</v>
      </c>
      <c r="AC149" s="463">
        <f t="shared" si="109"/>
        <v>1.3166650299151041</v>
      </c>
      <c r="AD149" s="463">
        <f t="shared" si="110"/>
        <v>10.079081452138023</v>
      </c>
      <c r="AE149" s="463">
        <f t="shared" si="111"/>
        <v>0.18285818925389891</v>
      </c>
      <c r="AF149" s="463">
        <f t="shared" si="127"/>
        <v>0.33600000000000002</v>
      </c>
      <c r="AG149" s="463">
        <f t="shared" si="112"/>
        <v>0.53855399076733401</v>
      </c>
      <c r="AH149" s="463">
        <f t="shared" si="113"/>
        <v>0</v>
      </c>
      <c r="AI149">
        <f t="shared" si="128"/>
        <v>0</v>
      </c>
      <c r="AJ149" s="464">
        <f t="shared" si="129"/>
        <v>0.43154639999999994</v>
      </c>
      <c r="AK149">
        <f t="shared" si="133"/>
        <v>7.2000000000000008E-2</v>
      </c>
      <c r="AL149" s="464">
        <f t="shared" si="134"/>
        <v>0.98399999999999999</v>
      </c>
      <c r="AM149" s="464">
        <f t="shared" si="135"/>
        <v>0.82265384615384629</v>
      </c>
      <c r="AN149" s="464">
        <f t="shared" si="114"/>
        <v>1.056</v>
      </c>
      <c r="AO149" s="464">
        <f t="shared" si="115"/>
        <v>5.9526348456701559</v>
      </c>
      <c r="AP149" s="100">
        <f t="shared" si="130"/>
        <v>165.20000000000002</v>
      </c>
      <c r="AQ149" s="10">
        <f t="shared" si="116"/>
        <v>0.96522031430577915</v>
      </c>
      <c r="AR149" s="77">
        <f t="shared" si="117"/>
        <v>65.833251495755206</v>
      </c>
      <c r="AS149" s="77">
        <f t="shared" si="118"/>
        <v>26.927699538366699</v>
      </c>
      <c r="AT149" s="10"/>
      <c r="AU149">
        <f t="shared" si="119"/>
        <v>96.522031430577911</v>
      </c>
    </row>
    <row r="150" spans="7:47" x14ac:dyDescent="0.2">
      <c r="G150">
        <v>141</v>
      </c>
      <c r="H150">
        <f t="shared" si="120"/>
        <v>14.1</v>
      </c>
      <c r="I150" s="463">
        <f t="shared" si="97"/>
        <v>0.49566166666666667</v>
      </c>
      <c r="J150" s="464">
        <f t="shared" si="121"/>
        <v>8.0627631111111118</v>
      </c>
      <c r="K150" s="464">
        <f t="shared" si="131"/>
        <v>18.131381555555556</v>
      </c>
      <c r="L150" s="464">
        <f t="shared" si="98"/>
        <v>10.068618444444443</v>
      </c>
      <c r="M150" s="77">
        <f t="shared" si="122"/>
        <v>0</v>
      </c>
      <c r="N150" s="463">
        <f t="shared" si="99"/>
        <v>14.290813334055711</v>
      </c>
      <c r="O150" s="463">
        <f t="shared" si="100"/>
        <v>1.1119750107368451</v>
      </c>
      <c r="P150">
        <f t="shared" si="123"/>
        <v>0.5</v>
      </c>
      <c r="Q150" s="463">
        <f t="shared" si="132"/>
        <v>1.6119750107368451</v>
      </c>
      <c r="R150" s="9">
        <f t="shared" si="101"/>
        <v>2.3275192263060926</v>
      </c>
      <c r="S150" s="9">
        <f t="shared" si="102"/>
        <v>1.6252037246473536E-2</v>
      </c>
      <c r="T150" s="9">
        <f t="shared" si="103"/>
        <v>1.6252037246473536E-2</v>
      </c>
      <c r="U150" s="463">
        <f t="shared" si="104"/>
        <v>10.061196080624407</v>
      </c>
      <c r="V150" s="465">
        <f t="shared" si="105"/>
        <v>1.0122766657277193</v>
      </c>
      <c r="W150" s="463">
        <f t="shared" si="106"/>
        <v>1.0122766657277193</v>
      </c>
      <c r="X150" s="463">
        <f t="shared" si="107"/>
        <v>10.061196080624407</v>
      </c>
      <c r="Y150" s="463">
        <f t="shared" si="108"/>
        <v>0.18220979983098948</v>
      </c>
      <c r="Z150" s="463">
        <f t="shared" si="124"/>
        <v>1.0665686257401683</v>
      </c>
      <c r="AA150" s="463">
        <f t="shared" si="125"/>
        <v>2.9999999999999992E-2</v>
      </c>
      <c r="AB150" s="463">
        <f t="shared" si="126"/>
        <v>0</v>
      </c>
      <c r="AC150" s="463">
        <f t="shared" si="109"/>
        <v>1.3271420842757928</v>
      </c>
      <c r="AD150" s="463">
        <f t="shared" si="110"/>
        <v>10.148875759218484</v>
      </c>
      <c r="AE150" s="463">
        <f t="shared" si="111"/>
        <v>0.18539942251689459</v>
      </c>
      <c r="AF150" s="463">
        <f t="shared" si="127"/>
        <v>0.33839999999999998</v>
      </c>
      <c r="AG150" s="463">
        <f t="shared" si="112"/>
        <v>0.54396975832906735</v>
      </c>
      <c r="AH150" s="463">
        <f t="shared" si="113"/>
        <v>0</v>
      </c>
      <c r="AI150">
        <f t="shared" si="128"/>
        <v>0</v>
      </c>
      <c r="AJ150" s="464">
        <f t="shared" si="129"/>
        <v>0.43154315999999998</v>
      </c>
      <c r="AK150">
        <f t="shared" si="133"/>
        <v>7.2000000000000008E-2</v>
      </c>
      <c r="AL150" s="464">
        <f t="shared" si="134"/>
        <v>0.98399999999999999</v>
      </c>
      <c r="AM150" s="464">
        <f t="shared" si="135"/>
        <v>0.82265384615384629</v>
      </c>
      <c r="AN150" s="464">
        <f t="shared" si="114"/>
        <v>1.056</v>
      </c>
      <c r="AO150" s="464">
        <f t="shared" si="115"/>
        <v>5.9991587163158986</v>
      </c>
      <c r="AP150" s="100">
        <f t="shared" si="130"/>
        <v>166.38</v>
      </c>
      <c r="AQ150" s="10">
        <f t="shared" si="116"/>
        <v>0.96519788841649534</v>
      </c>
      <c r="AR150" s="77">
        <f t="shared" si="117"/>
        <v>66.35710421378964</v>
      </c>
      <c r="AS150" s="77">
        <f t="shared" si="118"/>
        <v>27.198487916453367</v>
      </c>
      <c r="AT150" s="10"/>
      <c r="AU150">
        <f t="shared" si="119"/>
        <v>96.519788841649529</v>
      </c>
    </row>
    <row r="151" spans="7:47" x14ac:dyDescent="0.2">
      <c r="G151">
        <v>142</v>
      </c>
      <c r="H151">
        <f t="shared" si="120"/>
        <v>14.2</v>
      </c>
      <c r="I151" s="463">
        <f t="shared" si="97"/>
        <v>0.49569000000000002</v>
      </c>
      <c r="J151" s="464">
        <f t="shared" si="121"/>
        <v>8.0632239999999999</v>
      </c>
      <c r="K151" s="464">
        <f t="shared" si="131"/>
        <v>18.231611999999998</v>
      </c>
      <c r="L151" s="464">
        <f t="shared" si="98"/>
        <v>10.168388</v>
      </c>
      <c r="M151" s="77">
        <f t="shared" si="122"/>
        <v>0</v>
      </c>
      <c r="N151" s="463">
        <f t="shared" si="99"/>
        <v>14.389508855627467</v>
      </c>
      <c r="O151" s="463">
        <f t="shared" si="100"/>
        <v>1.1287788894964896</v>
      </c>
      <c r="P151">
        <f t="shared" si="123"/>
        <v>0.5</v>
      </c>
      <c r="Q151" s="463">
        <f t="shared" si="132"/>
        <v>1.6287788894964896</v>
      </c>
      <c r="R151" s="9">
        <f t="shared" si="101"/>
        <v>2.3276522734681255</v>
      </c>
      <c r="S151" s="9">
        <f t="shared" si="102"/>
        <v>1.6253895318544001E-2</v>
      </c>
      <c r="T151" s="9">
        <f t="shared" si="103"/>
        <v>1.6253895318544001E-2</v>
      </c>
      <c r="U151" s="463">
        <f t="shared" si="104"/>
        <v>10.130970472935109</v>
      </c>
      <c r="V151" s="465">
        <f t="shared" si="105"/>
        <v>1.0263656272348305</v>
      </c>
      <c r="W151" s="463">
        <f t="shared" si="106"/>
        <v>1.0263656272348305</v>
      </c>
      <c r="X151" s="463">
        <f t="shared" si="107"/>
        <v>10.130970472935109</v>
      </c>
      <c r="Y151" s="463">
        <f t="shared" si="108"/>
        <v>0.18474581290226946</v>
      </c>
      <c r="Z151" s="463">
        <f t="shared" si="124"/>
        <v>1.0734829528803054</v>
      </c>
      <c r="AA151" s="463">
        <f t="shared" si="125"/>
        <v>2.9999999999999992E-2</v>
      </c>
      <c r="AB151" s="463">
        <f t="shared" si="126"/>
        <v>0</v>
      </c>
      <c r="AC151" s="463">
        <f t="shared" si="109"/>
        <v>1.3376539594050187</v>
      </c>
      <c r="AD151" s="463">
        <f t="shared" si="110"/>
        <v>10.218679091873778</v>
      </c>
      <c r="AE151" s="463">
        <f t="shared" si="111"/>
        <v>0.18795852428885693</v>
      </c>
      <c r="AF151" s="463">
        <f t="shared" si="127"/>
        <v>0.34079999999999999</v>
      </c>
      <c r="AG151" s="463">
        <f t="shared" si="112"/>
        <v>0.54941185249314051</v>
      </c>
      <c r="AH151" s="463">
        <f t="shared" si="113"/>
        <v>0</v>
      </c>
      <c r="AI151">
        <f t="shared" si="128"/>
        <v>0</v>
      </c>
      <c r="AJ151" s="464">
        <f t="shared" si="129"/>
        <v>0.43153991999999997</v>
      </c>
      <c r="AK151">
        <f t="shared" si="133"/>
        <v>7.2000000000000008E-2</v>
      </c>
      <c r="AL151" s="464">
        <f t="shared" si="134"/>
        <v>0.98399999999999999</v>
      </c>
      <c r="AM151" s="464">
        <f t="shared" si="135"/>
        <v>0.82265384615384629</v>
      </c>
      <c r="AN151" s="464">
        <f t="shared" si="114"/>
        <v>1.056</v>
      </c>
      <c r="AO151" s="464">
        <f t="shared" si="115"/>
        <v>6.0460041439480232</v>
      </c>
      <c r="AP151" s="100">
        <f t="shared" si="130"/>
        <v>167.56</v>
      </c>
      <c r="AQ151" s="10">
        <f t="shared" si="116"/>
        <v>0.96517399168444151</v>
      </c>
      <c r="AR151" s="77">
        <f t="shared" si="117"/>
        <v>66.882697970250931</v>
      </c>
      <c r="AS151" s="77">
        <f t="shared" si="118"/>
        <v>27.470592624657026</v>
      </c>
      <c r="AT151" s="10"/>
      <c r="AU151">
        <f t="shared" si="119"/>
        <v>96.517399168444157</v>
      </c>
    </row>
    <row r="152" spans="7:47" x14ac:dyDescent="0.2">
      <c r="G152">
        <v>143</v>
      </c>
      <c r="H152">
        <f t="shared" si="120"/>
        <v>14.299999999999999</v>
      </c>
      <c r="I152" s="463">
        <f t="shared" si="97"/>
        <v>0.49571833333333343</v>
      </c>
      <c r="J152" s="464">
        <f t="shared" si="121"/>
        <v>8.0636848888888899</v>
      </c>
      <c r="K152" s="464">
        <f t="shared" si="131"/>
        <v>18.331842444444444</v>
      </c>
      <c r="L152" s="464">
        <f t="shared" si="98"/>
        <v>10.268157555555554</v>
      </c>
      <c r="M152" s="77">
        <f t="shared" si="122"/>
        <v>0</v>
      </c>
      <c r="N152" s="463">
        <f t="shared" si="99"/>
        <v>14.4882222684131</v>
      </c>
      <c r="O152" s="463">
        <f t="shared" si="100"/>
        <v>1.1457434792674774</v>
      </c>
      <c r="P152">
        <f t="shared" si="123"/>
        <v>0.5</v>
      </c>
      <c r="Q152" s="463">
        <f t="shared" si="132"/>
        <v>1.6457434792674774</v>
      </c>
      <c r="R152" s="9">
        <f t="shared" si="101"/>
        <v>2.3277853206301593</v>
      </c>
      <c r="S152" s="9">
        <f t="shared" si="102"/>
        <v>1.625575349682376E-2</v>
      </c>
      <c r="T152" s="9">
        <f t="shared" si="103"/>
        <v>1.625575349682376E-2</v>
      </c>
      <c r="U152" s="463">
        <f t="shared" si="104"/>
        <v>10.200761425510075</v>
      </c>
      <c r="V152" s="465">
        <f t="shared" si="105"/>
        <v>1.0405553366017433</v>
      </c>
      <c r="W152" s="463">
        <f t="shared" si="106"/>
        <v>1.0405553366017433</v>
      </c>
      <c r="X152" s="463">
        <f t="shared" si="107"/>
        <v>10.200761425510075</v>
      </c>
      <c r="Y152" s="463">
        <f t="shared" si="108"/>
        <v>0.1872999605883138</v>
      </c>
      <c r="Z152" s="463">
        <f t="shared" si="124"/>
        <v>1.0803972800204422</v>
      </c>
      <c r="AA152" s="463">
        <f t="shared" si="125"/>
        <v>2.9999999999999992E-2</v>
      </c>
      <c r="AB152" s="463">
        <f t="shared" si="126"/>
        <v>0</v>
      </c>
      <c r="AC152" s="463">
        <f t="shared" si="109"/>
        <v>1.3482008331931998</v>
      </c>
      <c r="AD152" s="463">
        <f t="shared" si="110"/>
        <v>10.288491183782337</v>
      </c>
      <c r="AE152" s="463">
        <f t="shared" si="111"/>
        <v>0.19053549150978036</v>
      </c>
      <c r="AF152" s="463">
        <f t="shared" si="127"/>
        <v>0.34320000000000001</v>
      </c>
      <c r="AG152" s="463">
        <f t="shared" si="112"/>
        <v>0.55488037240691668</v>
      </c>
      <c r="AH152" s="463">
        <f t="shared" si="113"/>
        <v>0</v>
      </c>
      <c r="AI152">
        <f t="shared" si="128"/>
        <v>0</v>
      </c>
      <c r="AJ152" s="464">
        <f t="shared" si="129"/>
        <v>0.43153668000000001</v>
      </c>
      <c r="AK152">
        <f t="shared" si="133"/>
        <v>7.2000000000000008E-2</v>
      </c>
      <c r="AL152" s="464">
        <f t="shared" si="134"/>
        <v>0.98399999999999999</v>
      </c>
      <c r="AM152" s="464">
        <f t="shared" si="135"/>
        <v>0.82265384615384629</v>
      </c>
      <c r="AN152" s="464">
        <f t="shared" si="114"/>
        <v>1.056</v>
      </c>
      <c r="AO152" s="464">
        <f t="shared" si="115"/>
        <v>6.0931724549661608</v>
      </c>
      <c r="AP152" s="100">
        <f t="shared" si="130"/>
        <v>168.74</v>
      </c>
      <c r="AQ152" s="10">
        <f t="shared" si="116"/>
        <v>0.96514864788296606</v>
      </c>
      <c r="AR152" s="77">
        <f t="shared" si="117"/>
        <v>67.410041659659996</v>
      </c>
      <c r="AS152" s="77">
        <f t="shared" si="118"/>
        <v>27.744018620345834</v>
      </c>
      <c r="AT152" s="10"/>
      <c r="AU152">
        <f t="shared" si="119"/>
        <v>96.514864788296606</v>
      </c>
    </row>
    <row r="153" spans="7:47" x14ac:dyDescent="0.2">
      <c r="G153">
        <v>144</v>
      </c>
      <c r="H153">
        <f t="shared" si="120"/>
        <v>14.399999999999999</v>
      </c>
      <c r="I153" s="463">
        <f t="shared" si="97"/>
        <v>0.49574666666666661</v>
      </c>
      <c r="J153" s="464">
        <f t="shared" si="121"/>
        <v>8.0641457777777763</v>
      </c>
      <c r="K153" s="464">
        <f t="shared" si="131"/>
        <v>18.432072888888886</v>
      </c>
      <c r="L153" s="464">
        <f t="shared" si="98"/>
        <v>10.367927111111111</v>
      </c>
      <c r="M153" s="77">
        <f t="shared" si="122"/>
        <v>0</v>
      </c>
      <c r="N153" s="463">
        <f t="shared" si="99"/>
        <v>14.586953209190199</v>
      </c>
      <c r="O153" s="463">
        <f t="shared" si="100"/>
        <v>1.1628698259719892</v>
      </c>
      <c r="P153">
        <f t="shared" si="123"/>
        <v>0.5</v>
      </c>
      <c r="Q153" s="463">
        <f t="shared" si="132"/>
        <v>1.6628698259719892</v>
      </c>
      <c r="R153" s="9">
        <f t="shared" si="101"/>
        <v>2.3279183677921917</v>
      </c>
      <c r="S153" s="9">
        <f t="shared" si="102"/>
        <v>1.6257611781312787E-2</v>
      </c>
      <c r="T153" s="9">
        <f t="shared" si="103"/>
        <v>1.6257611781312787E-2</v>
      </c>
      <c r="U153" s="463">
        <f t="shared" si="104"/>
        <v>10.270568683517425</v>
      </c>
      <c r="V153" s="465">
        <f t="shared" si="105"/>
        <v>1.0548458108284886</v>
      </c>
      <c r="W153" s="463">
        <f t="shared" si="106"/>
        <v>1.0548458108284886</v>
      </c>
      <c r="X153" s="463">
        <f t="shared" si="107"/>
        <v>10.270568683517425</v>
      </c>
      <c r="Y153" s="463">
        <f t="shared" si="108"/>
        <v>0.18987224594912791</v>
      </c>
      <c r="Z153" s="463">
        <f t="shared" si="124"/>
        <v>1.0873116071605793</v>
      </c>
      <c r="AA153" s="463">
        <f t="shared" si="125"/>
        <v>2.9999999999999992E-2</v>
      </c>
      <c r="AB153" s="463">
        <f t="shared" si="126"/>
        <v>0</v>
      </c>
      <c r="AC153" s="463">
        <f t="shared" si="109"/>
        <v>1.3587828847257293</v>
      </c>
      <c r="AD153" s="463">
        <f t="shared" si="110"/>
        <v>10.358311775779653</v>
      </c>
      <c r="AE153" s="463">
        <f t="shared" si="111"/>
        <v>0.19313032111965975</v>
      </c>
      <c r="AF153" s="463">
        <f t="shared" si="127"/>
        <v>0.34559999999999996</v>
      </c>
      <c r="AG153" s="463">
        <f t="shared" si="112"/>
        <v>0.56037541800503488</v>
      </c>
      <c r="AH153" s="463">
        <f t="shared" si="113"/>
        <v>0</v>
      </c>
      <c r="AI153">
        <f t="shared" si="128"/>
        <v>0</v>
      </c>
      <c r="AJ153" s="464">
        <f t="shared" si="129"/>
        <v>0.43153343999999999</v>
      </c>
      <c r="AK153">
        <f t="shared" si="133"/>
        <v>7.2000000000000008E-2</v>
      </c>
      <c r="AL153" s="464">
        <f t="shared" si="134"/>
        <v>0.98399999999999999</v>
      </c>
      <c r="AM153" s="464">
        <f t="shared" si="135"/>
        <v>0.82265384615384629</v>
      </c>
      <c r="AN153" s="464">
        <f t="shared" si="114"/>
        <v>1.056</v>
      </c>
      <c r="AO153" s="464">
        <f t="shared" si="115"/>
        <v>6.1406649913125539</v>
      </c>
      <c r="AP153" s="100">
        <f t="shared" si="130"/>
        <v>169.92</v>
      </c>
      <c r="AQ153" s="10">
        <f t="shared" si="116"/>
        <v>0.96512188005415323</v>
      </c>
      <c r="AR153" s="77">
        <f t="shared" si="117"/>
        <v>67.939144236286467</v>
      </c>
      <c r="AS153" s="77">
        <f t="shared" si="118"/>
        <v>28.018770900251745</v>
      </c>
      <c r="AT153" s="10"/>
      <c r="AU153">
        <f t="shared" si="119"/>
        <v>96.512188005415325</v>
      </c>
    </row>
    <row r="154" spans="7:47" x14ac:dyDescent="0.2">
      <c r="G154">
        <v>145</v>
      </c>
      <c r="H154">
        <f t="shared" si="120"/>
        <v>14.5</v>
      </c>
      <c r="I154" s="463">
        <f t="shared" si="97"/>
        <v>0.49577500000000002</v>
      </c>
      <c r="J154" s="464">
        <f t="shared" si="121"/>
        <v>8.0646066666666663</v>
      </c>
      <c r="K154" s="464">
        <f t="shared" si="131"/>
        <v>18.532303333333331</v>
      </c>
      <c r="L154" s="464">
        <f t="shared" si="98"/>
        <v>10.467696666666667</v>
      </c>
      <c r="M154" s="77">
        <f t="shared" si="122"/>
        <v>0</v>
      </c>
      <c r="N154" s="463">
        <f t="shared" si="99"/>
        <v>14.685701324440394</v>
      </c>
      <c r="O154" s="463">
        <f t="shared" si="100"/>
        <v>1.1801589892687536</v>
      </c>
      <c r="P154">
        <f t="shared" si="123"/>
        <v>0.5</v>
      </c>
      <c r="Q154" s="463">
        <f t="shared" si="132"/>
        <v>1.6801589892687536</v>
      </c>
      <c r="R154" s="9">
        <f t="shared" si="101"/>
        <v>2.3280514149542251</v>
      </c>
      <c r="S154" s="9">
        <f t="shared" si="102"/>
        <v>1.6259470172011108E-2</v>
      </c>
      <c r="T154" s="9">
        <f t="shared" si="103"/>
        <v>1.6259470172011108E-2</v>
      </c>
      <c r="U154" s="463">
        <f t="shared" si="104"/>
        <v>10.340391998928744</v>
      </c>
      <c r="V154" s="465">
        <f t="shared" si="105"/>
        <v>1.0692370669150959</v>
      </c>
      <c r="W154" s="463">
        <f t="shared" si="106"/>
        <v>1.0692370669150959</v>
      </c>
      <c r="X154" s="463">
        <f t="shared" si="107"/>
        <v>10.340391998928744</v>
      </c>
      <c r="Y154" s="463">
        <f t="shared" si="108"/>
        <v>0.19246267204471726</v>
      </c>
      <c r="Z154" s="463">
        <f t="shared" si="124"/>
        <v>1.0942259343007166</v>
      </c>
      <c r="AA154" s="463">
        <f t="shared" si="125"/>
        <v>2.9999999999999992E-2</v>
      </c>
      <c r="AB154" s="463">
        <f t="shared" si="126"/>
        <v>0</v>
      </c>
      <c r="AC154" s="463">
        <f t="shared" si="109"/>
        <v>1.3694002942931294</v>
      </c>
      <c r="AD154" s="463">
        <f t="shared" si="110"/>
        <v>10.428140615620828</v>
      </c>
      <c r="AE154" s="463">
        <f t="shared" si="111"/>
        <v>0.19574301005848932</v>
      </c>
      <c r="AF154" s="463">
        <f t="shared" si="127"/>
        <v>0.34800000000000003</v>
      </c>
      <c r="AG154" s="463">
        <f t="shared" si="112"/>
        <v>0.56589709001506716</v>
      </c>
      <c r="AH154" s="463">
        <f t="shared" si="113"/>
        <v>0</v>
      </c>
      <c r="AI154">
        <f t="shared" si="128"/>
        <v>0</v>
      </c>
      <c r="AJ154" s="464">
        <f t="shared" si="129"/>
        <v>0.43153019999999997</v>
      </c>
      <c r="AK154">
        <f t="shared" si="133"/>
        <v>7.2000000000000008E-2</v>
      </c>
      <c r="AL154" s="464">
        <f t="shared" si="134"/>
        <v>0.98399999999999999</v>
      </c>
      <c r="AM154" s="464">
        <f t="shared" si="135"/>
        <v>0.82265384615384629</v>
      </c>
      <c r="AN154" s="464">
        <f t="shared" si="114"/>
        <v>1.056</v>
      </c>
      <c r="AO154" s="464">
        <f t="shared" si="115"/>
        <v>6.1884831106640572</v>
      </c>
      <c r="AP154" s="100">
        <f t="shared" si="130"/>
        <v>171.10000000000002</v>
      </c>
      <c r="AQ154" s="10">
        <f t="shared" si="116"/>
        <v>0.96509371053278636</v>
      </c>
      <c r="AR154" s="77">
        <f t="shared" si="117"/>
        <v>68.470014714656472</v>
      </c>
      <c r="AS154" s="77">
        <f t="shared" si="118"/>
        <v>28.29485450075336</v>
      </c>
      <c r="AT154" s="10"/>
      <c r="AU154">
        <f t="shared" si="119"/>
        <v>96.509371053278642</v>
      </c>
    </row>
    <row r="155" spans="7:47" x14ac:dyDescent="0.2">
      <c r="G155">
        <v>146</v>
      </c>
      <c r="H155">
        <f t="shared" si="120"/>
        <v>14.6</v>
      </c>
      <c r="I155" s="463">
        <f t="shared" si="97"/>
        <v>0.49580333333333337</v>
      </c>
      <c r="J155" s="464">
        <f t="shared" si="121"/>
        <v>8.0650675555555562</v>
      </c>
      <c r="K155" s="464">
        <f t="shared" si="131"/>
        <v>18.632533777777777</v>
      </c>
      <c r="L155" s="464">
        <f t="shared" si="98"/>
        <v>10.567466222222222</v>
      </c>
      <c r="M155" s="77">
        <f t="shared" si="122"/>
        <v>0</v>
      </c>
      <c r="N155" s="463">
        <f t="shared" si="99"/>
        <v>14.784466270029485</v>
      </c>
      <c r="O155" s="463">
        <f t="shared" si="100"/>
        <v>1.19761204273236</v>
      </c>
      <c r="P155">
        <f t="shared" si="123"/>
        <v>0.5</v>
      </c>
      <c r="Q155" s="463">
        <f t="shared" si="132"/>
        <v>1.69761204273236</v>
      </c>
      <c r="R155" s="9">
        <f t="shared" si="101"/>
        <v>2.3281844621162588</v>
      </c>
      <c r="S155" s="9">
        <f t="shared" si="102"/>
        <v>1.6261328668918721E-2</v>
      </c>
      <c r="T155" s="9">
        <f t="shared" si="103"/>
        <v>1.6261328668918721E-2</v>
      </c>
      <c r="U155" s="463">
        <f t="shared" si="104"/>
        <v>10.410231130294832</v>
      </c>
      <c r="V155" s="465">
        <f t="shared" si="105"/>
        <v>1.0837291218615963</v>
      </c>
      <c r="W155" s="463">
        <f t="shared" si="106"/>
        <v>1.0837291218615963</v>
      </c>
      <c r="X155" s="463">
        <f t="shared" si="107"/>
        <v>10.410231130294832</v>
      </c>
      <c r="Y155" s="463">
        <f t="shared" si="108"/>
        <v>0.19507124193508732</v>
      </c>
      <c r="Z155" s="463">
        <f t="shared" si="124"/>
        <v>1.1011402614408534</v>
      </c>
      <c r="AA155" s="463">
        <f t="shared" si="125"/>
        <v>2.9999999999999992E-2</v>
      </c>
      <c r="AB155" s="463">
        <f t="shared" si="126"/>
        <v>0</v>
      </c>
      <c r="AC155" s="463">
        <f t="shared" si="109"/>
        <v>1.3800532434013084</v>
      </c>
      <c r="AD155" s="463">
        <f t="shared" si="110"/>
        <v>10.497977457752516</v>
      </c>
      <c r="AE155" s="463">
        <f t="shared" si="111"/>
        <v>0.19837355526626396</v>
      </c>
      <c r="AF155" s="463">
        <f t="shared" si="127"/>
        <v>0.35039999999999999</v>
      </c>
      <c r="AG155" s="463">
        <f t="shared" si="112"/>
        <v>0.57144548996323996</v>
      </c>
      <c r="AH155" s="463">
        <f t="shared" si="113"/>
        <v>0</v>
      </c>
      <c r="AI155">
        <f t="shared" si="128"/>
        <v>0</v>
      </c>
      <c r="AJ155" s="464">
        <f t="shared" si="129"/>
        <v>0.43152695999999996</v>
      </c>
      <c r="AK155">
        <f t="shared" si="133"/>
        <v>7.2000000000000008E-2</v>
      </c>
      <c r="AL155" s="464">
        <f t="shared" si="134"/>
        <v>0.98399999999999999</v>
      </c>
      <c r="AM155" s="464">
        <f t="shared" si="135"/>
        <v>0.82265384615384629</v>
      </c>
      <c r="AN155" s="464">
        <f t="shared" si="114"/>
        <v>1.056</v>
      </c>
      <c r="AO155" s="464">
        <f t="shared" si="115"/>
        <v>6.2366281866274234</v>
      </c>
      <c r="AP155" s="100">
        <f t="shared" si="130"/>
        <v>172.28</v>
      </c>
      <c r="AQ155" s="10">
        <f t="shared" si="116"/>
        <v>0.9650641609693219</v>
      </c>
      <c r="AR155" s="77">
        <f t="shared" si="117"/>
        <v>69.00266217006542</v>
      </c>
      <c r="AS155" s="77">
        <f t="shared" si="118"/>
        <v>28.572274498161999</v>
      </c>
      <c r="AT155" s="10"/>
      <c r="AU155">
        <f t="shared" si="119"/>
        <v>96.506416096932185</v>
      </c>
    </row>
    <row r="156" spans="7:47" x14ac:dyDescent="0.2">
      <c r="G156">
        <v>147</v>
      </c>
      <c r="H156">
        <f t="shared" si="120"/>
        <v>14.7</v>
      </c>
      <c r="I156" s="463">
        <f t="shared" si="97"/>
        <v>0.49583166666666667</v>
      </c>
      <c r="J156" s="464">
        <f t="shared" si="121"/>
        <v>8.0655284444444444</v>
      </c>
      <c r="K156" s="464">
        <f t="shared" si="131"/>
        <v>18.732764222222222</v>
      </c>
      <c r="L156" s="464">
        <f t="shared" si="98"/>
        <v>10.667235777777776</v>
      </c>
      <c r="M156" s="77">
        <f t="shared" si="122"/>
        <v>0</v>
      </c>
      <c r="N156" s="463">
        <f t="shared" si="99"/>
        <v>14.88324771090006</v>
      </c>
      <c r="O156" s="463">
        <f t="shared" si="100"/>
        <v>1.2152300740357689</v>
      </c>
      <c r="P156">
        <f t="shared" si="123"/>
        <v>0.5</v>
      </c>
      <c r="Q156" s="463">
        <f t="shared" si="132"/>
        <v>1.7152300740357689</v>
      </c>
      <c r="R156" s="9">
        <f t="shared" si="101"/>
        <v>2.3283175092782917</v>
      </c>
      <c r="S156" s="9">
        <f t="shared" si="102"/>
        <v>1.6263187272035604E-2</v>
      </c>
      <c r="T156" s="9">
        <f t="shared" si="103"/>
        <v>1.6263187272035604E-2</v>
      </c>
      <c r="U156" s="463">
        <f t="shared" si="104"/>
        <v>10.480085842530196</v>
      </c>
      <c r="V156" s="465">
        <f t="shared" si="105"/>
        <v>1.0983219926680183</v>
      </c>
      <c r="W156" s="463">
        <f t="shared" si="106"/>
        <v>1.0983219926680183</v>
      </c>
      <c r="X156" s="463">
        <f t="shared" si="107"/>
        <v>10.480085842530196</v>
      </c>
      <c r="Y156" s="463">
        <f t="shared" si="108"/>
        <v>0.19769795868024331</v>
      </c>
      <c r="Z156" s="463">
        <f t="shared" si="124"/>
        <v>1.1080545885809905</v>
      </c>
      <c r="AA156" s="463">
        <f t="shared" si="125"/>
        <v>2.9999999999999992E-2</v>
      </c>
      <c r="AB156" s="463">
        <f t="shared" si="126"/>
        <v>0</v>
      </c>
      <c r="AC156" s="463">
        <f t="shared" si="109"/>
        <v>1.3907419147819218</v>
      </c>
      <c r="AD156" s="463">
        <f t="shared" si="110"/>
        <v>10.567822063093702</v>
      </c>
      <c r="AE156" s="463">
        <f t="shared" si="111"/>
        <v>0.20102195368297804</v>
      </c>
      <c r="AF156" s="463">
        <f t="shared" si="127"/>
        <v>0.3528</v>
      </c>
      <c r="AG156" s="463">
        <f t="shared" si="112"/>
        <v>0.57702072018021522</v>
      </c>
      <c r="AH156" s="463">
        <f t="shared" si="113"/>
        <v>0</v>
      </c>
      <c r="AI156">
        <f t="shared" si="128"/>
        <v>0</v>
      </c>
      <c r="AJ156" s="464">
        <f t="shared" si="129"/>
        <v>0.43152371999999994</v>
      </c>
      <c r="AK156">
        <f t="shared" si="133"/>
        <v>7.2000000000000008E-2</v>
      </c>
      <c r="AL156" s="464">
        <f t="shared" si="134"/>
        <v>0.98399999999999999</v>
      </c>
      <c r="AM156" s="464">
        <f t="shared" si="135"/>
        <v>0.82265384615384629</v>
      </c>
      <c r="AN156" s="464">
        <f t="shared" si="114"/>
        <v>1.056</v>
      </c>
      <c r="AO156" s="464">
        <f t="shared" si="115"/>
        <v>6.2851016089379597</v>
      </c>
      <c r="AP156" s="100">
        <f t="shared" si="130"/>
        <v>173.46</v>
      </c>
      <c r="AQ156" s="10">
        <f t="shared" si="116"/>
        <v>0.9650332523519215</v>
      </c>
      <c r="AR156" s="77">
        <f t="shared" si="117"/>
        <v>69.537095739096088</v>
      </c>
      <c r="AS156" s="77">
        <f t="shared" si="118"/>
        <v>28.851036009010762</v>
      </c>
      <c r="AT156" s="10"/>
      <c r="AU156">
        <f t="shared" si="119"/>
        <v>96.50332523519215</v>
      </c>
    </row>
    <row r="157" spans="7:47" x14ac:dyDescent="0.2">
      <c r="G157">
        <v>148</v>
      </c>
      <c r="H157">
        <f t="shared" si="120"/>
        <v>14.8</v>
      </c>
      <c r="I157" s="463">
        <f t="shared" si="97"/>
        <v>0.49586000000000002</v>
      </c>
      <c r="J157" s="464">
        <f t="shared" si="121"/>
        <v>8.0659893333333326</v>
      </c>
      <c r="K157" s="464">
        <f t="shared" si="131"/>
        <v>18.832994666666668</v>
      </c>
      <c r="L157" s="464">
        <f t="shared" si="98"/>
        <v>10.767005333333334</v>
      </c>
      <c r="M157" s="77">
        <f t="shared" si="122"/>
        <v>0</v>
      </c>
      <c r="N157" s="463">
        <f t="shared" si="99"/>
        <v>14.982045320776042</v>
      </c>
      <c r="O157" s="463">
        <f t="shared" si="100"/>
        <v>1.2330141851360732</v>
      </c>
      <c r="P157">
        <f t="shared" si="123"/>
        <v>0.5</v>
      </c>
      <c r="Q157" s="463">
        <f t="shared" si="132"/>
        <v>1.7330141851360732</v>
      </c>
      <c r="R157" s="9">
        <f t="shared" si="101"/>
        <v>2.3284505564403251</v>
      </c>
      <c r="S157" s="9">
        <f t="shared" si="102"/>
        <v>1.6265045981361779E-2</v>
      </c>
      <c r="T157" s="9">
        <f t="shared" si="103"/>
        <v>1.6265045981361779E-2</v>
      </c>
      <c r="U157" s="463">
        <f t="shared" si="104"/>
        <v>10.549955906705931</v>
      </c>
      <c r="V157" s="465">
        <f t="shared" si="105"/>
        <v>1.1130156963343936</v>
      </c>
      <c r="W157" s="463">
        <f t="shared" si="106"/>
        <v>1.1130156963343936</v>
      </c>
      <c r="X157" s="463">
        <f t="shared" si="107"/>
        <v>10.549955906705931</v>
      </c>
      <c r="Y157" s="463">
        <f t="shared" si="108"/>
        <v>0.20034282534019085</v>
      </c>
      <c r="Z157" s="463">
        <f t="shared" si="124"/>
        <v>1.1149689157211278</v>
      </c>
      <c r="AA157" s="463">
        <f t="shared" si="125"/>
        <v>2.9999999999999992E-2</v>
      </c>
      <c r="AB157" s="463">
        <f t="shared" si="126"/>
        <v>0</v>
      </c>
      <c r="AC157" s="463">
        <f t="shared" si="109"/>
        <v>1.4014664924028368</v>
      </c>
      <c r="AD157" s="463">
        <f t="shared" si="110"/>
        <v>10.637674198825039</v>
      </c>
      <c r="AE157" s="463">
        <f t="shared" si="111"/>
        <v>0.20368820224862624</v>
      </c>
      <c r="AF157" s="463">
        <f t="shared" si="127"/>
        <v>0.35520000000000002</v>
      </c>
      <c r="AG157" s="463">
        <f t="shared" si="112"/>
        <v>0.58262288380693528</v>
      </c>
      <c r="AH157" s="463">
        <f t="shared" si="113"/>
        <v>0</v>
      </c>
      <c r="AI157">
        <f t="shared" si="128"/>
        <v>0</v>
      </c>
      <c r="AJ157" s="464">
        <f t="shared" si="129"/>
        <v>0.43152047999999998</v>
      </c>
      <c r="AK157">
        <f t="shared" si="133"/>
        <v>7.2000000000000008E-2</v>
      </c>
      <c r="AL157" s="464">
        <f t="shared" si="134"/>
        <v>0.98399999999999999</v>
      </c>
      <c r="AM157" s="464">
        <f t="shared" si="135"/>
        <v>0.82265384615384629</v>
      </c>
      <c r="AN157" s="464">
        <f t="shared" si="114"/>
        <v>1.056</v>
      </c>
      <c r="AO157" s="464">
        <f t="shared" si="115"/>
        <v>6.3339047836616</v>
      </c>
      <c r="AP157" s="100">
        <f t="shared" si="130"/>
        <v>174.64000000000001</v>
      </c>
      <c r="AQ157" s="10">
        <f t="shared" si="116"/>
        <v>0.96500100502758546</v>
      </c>
      <c r="AR157" s="77">
        <f t="shared" si="117"/>
        <v>70.073324620141847</v>
      </c>
      <c r="AS157" s="77">
        <f t="shared" si="118"/>
        <v>29.131144190346763</v>
      </c>
      <c r="AT157" s="10"/>
      <c r="AU157">
        <f t="shared" si="119"/>
        <v>96.500100502758542</v>
      </c>
    </row>
    <row r="158" spans="7:47" x14ac:dyDescent="0.2">
      <c r="G158">
        <v>149</v>
      </c>
      <c r="H158">
        <f t="shared" si="120"/>
        <v>14.9</v>
      </c>
      <c r="I158" s="463">
        <f t="shared" si="97"/>
        <v>0.49588833333333343</v>
      </c>
      <c r="J158" s="464">
        <f t="shared" si="121"/>
        <v>8.0664502222222243</v>
      </c>
      <c r="K158" s="464">
        <f t="shared" si="131"/>
        <v>18.933225111111113</v>
      </c>
      <c r="L158" s="464">
        <f t="shared" si="98"/>
        <v>10.866774888888887</v>
      </c>
      <c r="M158" s="77">
        <f t="shared" si="122"/>
        <v>0</v>
      </c>
      <c r="N158" s="463">
        <f t="shared" si="99"/>
        <v>15.080858781878629</v>
      </c>
      <c r="O158" s="463">
        <f t="shared" si="100"/>
        <v>1.2509654924635789</v>
      </c>
      <c r="P158">
        <f t="shared" si="123"/>
        <v>0.5</v>
      </c>
      <c r="Q158" s="463">
        <f t="shared" si="132"/>
        <v>1.7509654924635789</v>
      </c>
      <c r="R158" s="9">
        <f t="shared" si="101"/>
        <v>2.3285836036023588</v>
      </c>
      <c r="S158" s="9">
        <f t="shared" si="102"/>
        <v>1.6266904796897241E-2</v>
      </c>
      <c r="T158" s="9">
        <f t="shared" si="103"/>
        <v>1.6266904796897241E-2</v>
      </c>
      <c r="U158" s="463">
        <f t="shared" si="104"/>
        <v>10.619841099850559</v>
      </c>
      <c r="V158" s="465">
        <f t="shared" si="105"/>
        <v>1.1278102498607512</v>
      </c>
      <c r="W158" s="463">
        <f t="shared" si="106"/>
        <v>1.1278102498607512</v>
      </c>
      <c r="X158" s="463">
        <f t="shared" si="107"/>
        <v>10.619841099850559</v>
      </c>
      <c r="Y158" s="463">
        <f t="shared" si="108"/>
        <v>0.20300584497493521</v>
      </c>
      <c r="Z158" s="463">
        <f t="shared" si="124"/>
        <v>1.1218832428612648</v>
      </c>
      <c r="AA158" s="463">
        <f t="shared" si="125"/>
        <v>2.9999999999999992E-2</v>
      </c>
      <c r="AB158" s="463">
        <f t="shared" si="126"/>
        <v>0</v>
      </c>
      <c r="AC158" s="463">
        <f t="shared" si="109"/>
        <v>1.4122271614787079</v>
      </c>
      <c r="AD158" s="463">
        <f t="shared" si="110"/>
        <v>10.707533638186275</v>
      </c>
      <c r="AE158" s="463">
        <f t="shared" si="111"/>
        <v>0.20637229790320311</v>
      </c>
      <c r="AF158" s="463">
        <f t="shared" si="127"/>
        <v>0.35760000000000003</v>
      </c>
      <c r="AG158" s="463">
        <f t="shared" si="112"/>
        <v>0.58825208480053015</v>
      </c>
      <c r="AH158" s="463">
        <f t="shared" si="113"/>
        <v>0</v>
      </c>
      <c r="AI158">
        <f t="shared" si="128"/>
        <v>0</v>
      </c>
      <c r="AJ158" s="464">
        <f t="shared" si="129"/>
        <v>0.43151723999999997</v>
      </c>
      <c r="AK158">
        <f t="shared" si="133"/>
        <v>7.2000000000000008E-2</v>
      </c>
      <c r="AL158" s="464">
        <f t="shared" si="134"/>
        <v>0.98399999999999999</v>
      </c>
      <c r="AM158" s="464">
        <f t="shared" si="135"/>
        <v>0.82265384615384629</v>
      </c>
      <c r="AN158" s="464">
        <f t="shared" si="114"/>
        <v>1.056</v>
      </c>
      <c r="AO158" s="464">
        <f t="shared" si="115"/>
        <v>6.383039133400465</v>
      </c>
      <c r="AP158" s="100">
        <f t="shared" si="130"/>
        <v>175.82000000000002</v>
      </c>
      <c r="AQ158" s="10">
        <f t="shared" si="116"/>
        <v>0.96496743872242929</v>
      </c>
      <c r="AR158" s="77">
        <f t="shared" si="117"/>
        <v>70.611358073935392</v>
      </c>
      <c r="AS158" s="77">
        <f t="shared" si="118"/>
        <v>29.412604240026507</v>
      </c>
      <c r="AT158" s="10"/>
      <c r="AU158">
        <f t="shared" si="119"/>
        <v>96.496743872242931</v>
      </c>
    </row>
    <row r="159" spans="7:47" x14ac:dyDescent="0.2">
      <c r="G159">
        <v>150</v>
      </c>
      <c r="H159">
        <f t="shared" si="120"/>
        <v>15</v>
      </c>
      <c r="I159" s="463">
        <f t="shared" si="97"/>
        <v>0.49591666666666662</v>
      </c>
      <c r="J159" s="464">
        <f t="shared" si="121"/>
        <v>8.0669111111111089</v>
      </c>
      <c r="K159" s="464">
        <f t="shared" si="131"/>
        <v>19.033455555555555</v>
      </c>
      <c r="L159" s="464">
        <f t="shared" si="98"/>
        <v>10.966544444444445</v>
      </c>
      <c r="M159" s="77">
        <f t="shared" si="122"/>
        <v>0</v>
      </c>
      <c r="N159" s="463">
        <f t="shared" si="99"/>
        <v>15.179687784653126</v>
      </c>
      <c r="O159" s="463">
        <f t="shared" si="100"/>
        <v>1.2690851271142694</v>
      </c>
      <c r="P159">
        <f t="shared" si="123"/>
        <v>0.5</v>
      </c>
      <c r="Q159" s="463">
        <f t="shared" si="132"/>
        <v>1.7690851271142694</v>
      </c>
      <c r="R159" s="9">
        <f t="shared" si="101"/>
        <v>2.3287166507643908</v>
      </c>
      <c r="S159" s="9">
        <f t="shared" si="102"/>
        <v>1.6268763718641967E-2</v>
      </c>
      <c r="T159" s="9">
        <f t="shared" si="103"/>
        <v>1.6268763718641967E-2</v>
      </c>
      <c r="U159" s="463">
        <f t="shared" si="104"/>
        <v>10.689741204758521</v>
      </c>
      <c r="V159" s="465">
        <f t="shared" si="105"/>
        <v>1.1427056702471214</v>
      </c>
      <c r="W159" s="463">
        <f t="shared" si="106"/>
        <v>1.1427056702471214</v>
      </c>
      <c r="X159" s="463">
        <f t="shared" si="107"/>
        <v>10.689741204758521</v>
      </c>
      <c r="Y159" s="463">
        <f t="shared" si="108"/>
        <v>0.20568702064448185</v>
      </c>
      <c r="Z159" s="463">
        <f t="shared" si="124"/>
        <v>1.1287975700014017</v>
      </c>
      <c r="AA159" s="463">
        <f t="shared" si="125"/>
        <v>2.9999999999999992E-2</v>
      </c>
      <c r="AB159" s="463">
        <f t="shared" si="126"/>
        <v>0</v>
      </c>
      <c r="AC159" s="463">
        <f t="shared" si="109"/>
        <v>1.4230241084816559</v>
      </c>
      <c r="AD159" s="463">
        <f t="shared" si="110"/>
        <v>10.777400160281475</v>
      </c>
      <c r="AE159" s="463">
        <f t="shared" si="111"/>
        <v>0.20907423758670329</v>
      </c>
      <c r="AF159" s="463">
        <f t="shared" si="127"/>
        <v>0.36</v>
      </c>
      <c r="AG159" s="463">
        <f t="shared" si="112"/>
        <v>0.59390842794028997</v>
      </c>
      <c r="AH159" s="463">
        <f t="shared" si="113"/>
        <v>0</v>
      </c>
      <c r="AI159">
        <f t="shared" si="128"/>
        <v>0</v>
      </c>
      <c r="AJ159" s="464">
        <f t="shared" si="129"/>
        <v>0.43151399999999995</v>
      </c>
      <c r="AK159">
        <f t="shared" si="133"/>
        <v>7.2000000000000008E-2</v>
      </c>
      <c r="AL159" s="464">
        <f t="shared" si="134"/>
        <v>0.98399999999999999</v>
      </c>
      <c r="AM159" s="464">
        <f t="shared" si="135"/>
        <v>0.82265384615384629</v>
      </c>
      <c r="AN159" s="464">
        <f t="shared" si="114"/>
        <v>1.056</v>
      </c>
      <c r="AO159" s="464">
        <f t="shared" si="115"/>
        <v>6.432506097501979</v>
      </c>
      <c r="AP159" s="100">
        <f t="shared" si="130"/>
        <v>177</v>
      </c>
      <c r="AQ159" s="10">
        <f t="shared" si="116"/>
        <v>0.96493257256114229</v>
      </c>
      <c r="AR159" s="77">
        <f t="shared" si="117"/>
        <v>71.151205424082804</v>
      </c>
      <c r="AS159" s="77">
        <f t="shared" si="118"/>
        <v>29.695421397014499</v>
      </c>
      <c r="AT159" s="10"/>
      <c r="AU159">
        <f t="shared" si="119"/>
        <v>96.493257256114234</v>
      </c>
    </row>
    <row r="160" spans="7:47" x14ac:dyDescent="0.2">
      <c r="G160">
        <v>151</v>
      </c>
      <c r="H160">
        <f t="shared" si="120"/>
        <v>15.1</v>
      </c>
      <c r="I160" s="463">
        <f t="shared" si="97"/>
        <v>0.49594500000000002</v>
      </c>
      <c r="J160" s="464">
        <f t="shared" si="121"/>
        <v>8.0673720000000007</v>
      </c>
      <c r="K160" s="464">
        <f t="shared" si="131"/>
        <v>19.133686000000001</v>
      </c>
      <c r="L160" s="464">
        <f t="shared" si="98"/>
        <v>11.066313999999998</v>
      </c>
      <c r="M160" s="77">
        <f t="shared" si="122"/>
        <v>0</v>
      </c>
      <c r="N160" s="463">
        <f t="shared" si="99"/>
        <v>15.278532027506175</v>
      </c>
      <c r="O160" s="463">
        <f t="shared" si="100"/>
        <v>1.2873742350457185</v>
      </c>
      <c r="P160">
        <f t="shared" si="123"/>
        <v>0.5</v>
      </c>
      <c r="Q160" s="463">
        <f t="shared" si="132"/>
        <v>1.7873742350457185</v>
      </c>
      <c r="R160" s="9">
        <f t="shared" si="101"/>
        <v>2.328849697926425</v>
      </c>
      <c r="S160" s="9">
        <f t="shared" si="102"/>
        <v>1.6270622746596006E-2</v>
      </c>
      <c r="T160" s="9">
        <f t="shared" si="103"/>
        <v>1.6270622746596006E-2</v>
      </c>
      <c r="U160" s="463">
        <f t="shared" si="104"/>
        <v>10.75965600980596</v>
      </c>
      <c r="V160" s="465">
        <f t="shared" si="105"/>
        <v>1.1577019744935353</v>
      </c>
      <c r="W160" s="463">
        <f t="shared" si="106"/>
        <v>1.1577019744935353</v>
      </c>
      <c r="X160" s="463">
        <f t="shared" si="107"/>
        <v>10.75965600980596</v>
      </c>
      <c r="Y160" s="463">
        <f t="shared" si="108"/>
        <v>0.20838635540883632</v>
      </c>
      <c r="Z160" s="463">
        <f t="shared" si="124"/>
        <v>1.1357118971415385</v>
      </c>
      <c r="AA160" s="463">
        <f t="shared" si="125"/>
        <v>2.9999999999999992E-2</v>
      </c>
      <c r="AB160" s="463">
        <f t="shared" si="126"/>
        <v>0</v>
      </c>
      <c r="AC160" s="463">
        <f t="shared" si="109"/>
        <v>1.4338575211520601</v>
      </c>
      <c r="AD160" s="463">
        <f t="shared" si="110"/>
        <v>10.847273549891625</v>
      </c>
      <c r="AE160" s="463">
        <f t="shared" si="111"/>
        <v>0.21179401823912122</v>
      </c>
      <c r="AF160" s="463">
        <f t="shared" si="127"/>
        <v>0.3624</v>
      </c>
      <c r="AG160" s="463">
        <f t="shared" si="112"/>
        <v>0.5995920188337005</v>
      </c>
      <c r="AH160" s="463">
        <f t="shared" si="113"/>
        <v>0</v>
      </c>
      <c r="AI160">
        <f t="shared" si="128"/>
        <v>0</v>
      </c>
      <c r="AJ160" s="464">
        <f t="shared" si="129"/>
        <v>0.43151075999999994</v>
      </c>
      <c r="AK160">
        <f t="shared" si="133"/>
        <v>7.2000000000000008E-2</v>
      </c>
      <c r="AL160" s="464">
        <f t="shared" si="134"/>
        <v>0.98399999999999999</v>
      </c>
      <c r="AM160" s="464">
        <f t="shared" si="135"/>
        <v>0.82265384615384629</v>
      </c>
      <c r="AN160" s="464">
        <f t="shared" si="114"/>
        <v>1.056</v>
      </c>
      <c r="AO160" s="464">
        <f t="shared" si="115"/>
        <v>6.4823071322716102</v>
      </c>
      <c r="AP160" s="100">
        <f t="shared" si="130"/>
        <v>178.18</v>
      </c>
      <c r="AQ160" s="10">
        <f t="shared" si="116"/>
        <v>0.96489642508566509</v>
      </c>
      <c r="AR160" s="77">
        <f t="shared" si="117"/>
        <v>71.692876057603002</v>
      </c>
      <c r="AS160" s="77">
        <f t="shared" si="118"/>
        <v>29.979600941685025</v>
      </c>
      <c r="AT160" s="10"/>
      <c r="AU160">
        <f t="shared" si="119"/>
        <v>96.489642508566504</v>
      </c>
    </row>
    <row r="161" spans="7:47" x14ac:dyDescent="0.2">
      <c r="G161">
        <v>152</v>
      </c>
      <c r="H161">
        <f t="shared" si="120"/>
        <v>15.2</v>
      </c>
      <c r="I161" s="463">
        <f t="shared" si="97"/>
        <v>0.49597333333333338</v>
      </c>
      <c r="J161" s="464">
        <f t="shared" si="121"/>
        <v>8.0678328888888888</v>
      </c>
      <c r="K161" s="464">
        <f t="shared" si="131"/>
        <v>19.233916444444443</v>
      </c>
      <c r="L161" s="464">
        <f t="shared" si="98"/>
        <v>11.166083555555556</v>
      </c>
      <c r="M161" s="77">
        <f t="shared" si="122"/>
        <v>0</v>
      </c>
      <c r="N161" s="463">
        <f t="shared" si="99"/>
        <v>15.377391216552947</v>
      </c>
      <c r="O161" s="463">
        <f t="shared" si="100"/>
        <v>1.3058339772765204</v>
      </c>
      <c r="P161">
        <f t="shared" si="123"/>
        <v>0.5</v>
      </c>
      <c r="Q161" s="463">
        <f t="shared" si="132"/>
        <v>1.8058339772765204</v>
      </c>
      <c r="R161" s="9">
        <f t="shared" si="101"/>
        <v>2.3289827450884584</v>
      </c>
      <c r="S161" s="9">
        <f t="shared" si="102"/>
        <v>1.6272481880759315E-2</v>
      </c>
      <c r="T161" s="9">
        <f t="shared" si="103"/>
        <v>1.6272481880759315E-2</v>
      </c>
      <c r="U161" s="463">
        <f t="shared" si="104"/>
        <v>10.829585308773469</v>
      </c>
      <c r="V161" s="465">
        <f t="shared" si="105"/>
        <v>1.1727991796000214</v>
      </c>
      <c r="W161" s="463">
        <f t="shared" si="106"/>
        <v>1.1727991796000214</v>
      </c>
      <c r="X161" s="463">
        <f t="shared" si="107"/>
        <v>10.829585308773469</v>
      </c>
      <c r="Y161" s="463">
        <f t="shared" si="108"/>
        <v>0.21110385232800385</v>
      </c>
      <c r="Z161" s="463">
        <f t="shared" si="124"/>
        <v>1.1426262242816756</v>
      </c>
      <c r="AA161" s="463">
        <f t="shared" si="125"/>
        <v>2.9999999999999992E-2</v>
      </c>
      <c r="AB161" s="463">
        <f t="shared" si="126"/>
        <v>0</v>
      </c>
      <c r="AC161" s="463">
        <f t="shared" si="109"/>
        <v>1.4447275885094581</v>
      </c>
      <c r="AD161" s="463">
        <f t="shared" si="110"/>
        <v>10.91715359729438</v>
      </c>
      <c r="AE161" s="463">
        <f t="shared" si="111"/>
        <v>0.21453163680045173</v>
      </c>
      <c r="AF161" s="463">
        <f t="shared" si="127"/>
        <v>0.36480000000000001</v>
      </c>
      <c r="AG161" s="463">
        <f t="shared" si="112"/>
        <v>0.60530296392254546</v>
      </c>
      <c r="AH161" s="463">
        <f t="shared" si="113"/>
        <v>0</v>
      </c>
      <c r="AI161">
        <f t="shared" si="128"/>
        <v>0</v>
      </c>
      <c r="AJ161" s="464">
        <f t="shared" si="129"/>
        <v>0.43150751999999992</v>
      </c>
      <c r="AK161">
        <f t="shared" si="133"/>
        <v>7.2000000000000008E-2</v>
      </c>
      <c r="AL161" s="464">
        <f t="shared" si="134"/>
        <v>0.98399999999999999</v>
      </c>
      <c r="AM161" s="464">
        <f t="shared" si="135"/>
        <v>0.82265384615384629</v>
      </c>
      <c r="AN161" s="464">
        <f t="shared" si="114"/>
        <v>1.056</v>
      </c>
      <c r="AO161" s="464">
        <f t="shared" si="115"/>
        <v>6.5324437111893054</v>
      </c>
      <c r="AP161" s="100">
        <f t="shared" si="130"/>
        <v>179.36</v>
      </c>
      <c r="AQ161" s="10">
        <f t="shared" si="116"/>
        <v>0.96485901427312237</v>
      </c>
      <c r="AR161" s="77">
        <f t="shared" si="117"/>
        <v>72.236379425472904</v>
      </c>
      <c r="AS161" s="77">
        <f t="shared" si="118"/>
        <v>30.265148196127274</v>
      </c>
      <c r="AT161" s="10"/>
      <c r="AU161">
        <f t="shared" si="119"/>
        <v>96.485901427312243</v>
      </c>
    </row>
    <row r="162" spans="7:47" x14ac:dyDescent="0.2">
      <c r="G162">
        <v>153</v>
      </c>
      <c r="H162">
        <f t="shared" si="120"/>
        <v>15.3</v>
      </c>
      <c r="I162" s="463">
        <f t="shared" si="97"/>
        <v>0.49600166666666667</v>
      </c>
      <c r="J162" s="464">
        <f t="shared" si="121"/>
        <v>8.068293777777777</v>
      </c>
      <c r="K162" s="464">
        <f t="shared" si="131"/>
        <v>19.334146888888888</v>
      </c>
      <c r="L162" s="464">
        <f t="shared" si="98"/>
        <v>11.265853111111113</v>
      </c>
      <c r="M162" s="77">
        <f t="shared" si="122"/>
        <v>0</v>
      </c>
      <c r="N162" s="463">
        <f t="shared" si="99"/>
        <v>15.476265065373838</v>
      </c>
      <c r="O162" s="463">
        <f t="shared" si="100"/>
        <v>1.32446553008931</v>
      </c>
      <c r="P162">
        <f t="shared" si="123"/>
        <v>0.5</v>
      </c>
      <c r="Q162" s="463">
        <f t="shared" si="132"/>
        <v>1.82446553008931</v>
      </c>
      <c r="R162" s="9">
        <f t="shared" si="101"/>
        <v>2.3291157922504913</v>
      </c>
      <c r="S162" s="9">
        <f t="shared" si="102"/>
        <v>1.6274341121131901E-2</v>
      </c>
      <c r="T162" s="9">
        <f t="shared" si="103"/>
        <v>1.6274341121131901E-2</v>
      </c>
      <c r="U162" s="463">
        <f t="shared" si="104"/>
        <v>10.899528900675529</v>
      </c>
      <c r="V162" s="465">
        <f t="shared" si="105"/>
        <v>1.1879973025666111</v>
      </c>
      <c r="W162" s="463">
        <f t="shared" si="106"/>
        <v>1.1879973025666111</v>
      </c>
      <c r="X162" s="463">
        <f t="shared" si="107"/>
        <v>10.899528900675529</v>
      </c>
      <c r="Y162" s="463">
        <f t="shared" si="108"/>
        <v>0.21383951446198998</v>
      </c>
      <c r="Z162" s="463">
        <f t="shared" si="124"/>
        <v>1.1495405514218127</v>
      </c>
      <c r="AA162" s="463">
        <f t="shared" si="125"/>
        <v>2.9999999999999992E-2</v>
      </c>
      <c r="AB162" s="463">
        <f t="shared" si="126"/>
        <v>0</v>
      </c>
      <c r="AC162" s="463">
        <f t="shared" si="109"/>
        <v>1.4556345008635596</v>
      </c>
      <c r="AD162" s="463">
        <f t="shared" si="110"/>
        <v>10.987040098090548</v>
      </c>
      <c r="AE162" s="463">
        <f t="shared" si="111"/>
        <v>0.21728709021068918</v>
      </c>
      <c r="AF162" s="463">
        <f t="shared" si="127"/>
        <v>0.36720000000000003</v>
      </c>
      <c r="AG162" s="463">
        <f t="shared" si="112"/>
        <v>0.61104137048907381</v>
      </c>
      <c r="AH162" s="463">
        <f t="shared" si="113"/>
        <v>0</v>
      </c>
      <c r="AI162">
        <f t="shared" si="128"/>
        <v>0</v>
      </c>
      <c r="AJ162" s="464">
        <f t="shared" si="129"/>
        <v>0.43150428000000002</v>
      </c>
      <c r="AK162">
        <f t="shared" si="133"/>
        <v>7.2000000000000008E-2</v>
      </c>
      <c r="AL162" s="464">
        <f t="shared" si="134"/>
        <v>0.98399999999999999</v>
      </c>
      <c r="AM162" s="464">
        <f t="shared" si="135"/>
        <v>0.82265384615384629</v>
      </c>
      <c r="AN162" s="464">
        <f t="shared" si="114"/>
        <v>1.056</v>
      </c>
      <c r="AO162" s="464">
        <f t="shared" si="115"/>
        <v>6.582917325129686</v>
      </c>
      <c r="AP162" s="100">
        <f t="shared" si="130"/>
        <v>180.54000000000002</v>
      </c>
      <c r="AQ162" s="10">
        <f t="shared" si="116"/>
        <v>0.9648203575530423</v>
      </c>
      <c r="AR162" s="77">
        <f t="shared" si="117"/>
        <v>72.781725043177985</v>
      </c>
      <c r="AS162" s="77">
        <f t="shared" si="118"/>
        <v>30.552068524453691</v>
      </c>
      <c r="AT162" s="10"/>
      <c r="AU162">
        <f t="shared" si="119"/>
        <v>96.482035755304224</v>
      </c>
    </row>
    <row r="163" spans="7:47" x14ac:dyDescent="0.2">
      <c r="G163">
        <v>154</v>
      </c>
      <c r="H163">
        <f t="shared" si="120"/>
        <v>15.4</v>
      </c>
      <c r="I163" s="463">
        <f t="shared" si="97"/>
        <v>0.49603000000000003</v>
      </c>
      <c r="J163" s="464">
        <f t="shared" si="121"/>
        <v>8.068754666666667</v>
      </c>
      <c r="K163" s="464">
        <f t="shared" si="131"/>
        <v>19.434377333333334</v>
      </c>
      <c r="L163" s="464">
        <f t="shared" si="98"/>
        <v>11.365622666666667</v>
      </c>
      <c r="M163" s="77">
        <f t="shared" si="122"/>
        <v>0</v>
      </c>
      <c r="N163" s="463">
        <f t="shared" si="99"/>
        <v>15.575153294780266</v>
      </c>
      <c r="O163" s="463">
        <f t="shared" si="100"/>
        <v>1.3432700852374346</v>
      </c>
      <c r="P163">
        <f t="shared" si="123"/>
        <v>0.5</v>
      </c>
      <c r="Q163" s="463">
        <f t="shared" si="132"/>
        <v>1.8432700852374346</v>
      </c>
      <c r="R163" s="9">
        <f t="shared" si="101"/>
        <v>2.3292488394125246</v>
      </c>
      <c r="S163" s="9">
        <f t="shared" si="102"/>
        <v>1.6276200467713779E-2</v>
      </c>
      <c r="T163" s="9">
        <f t="shared" si="103"/>
        <v>1.6276200467713779E-2</v>
      </c>
      <c r="U163" s="463">
        <f t="shared" si="104"/>
        <v>10.969486589596315</v>
      </c>
      <c r="V163" s="465">
        <f t="shared" si="105"/>
        <v>1.203296360393334</v>
      </c>
      <c r="W163" s="463">
        <f t="shared" si="106"/>
        <v>1.203296360393334</v>
      </c>
      <c r="X163" s="463">
        <f t="shared" si="107"/>
        <v>10.969486589596315</v>
      </c>
      <c r="Y163" s="463">
        <f t="shared" si="108"/>
        <v>0.21659334487080009</v>
      </c>
      <c r="Z163" s="463">
        <f t="shared" si="124"/>
        <v>1.15645487856195</v>
      </c>
      <c r="AA163" s="463">
        <f t="shared" si="125"/>
        <v>2.9999999999999992E-2</v>
      </c>
      <c r="AB163" s="463">
        <f t="shared" si="126"/>
        <v>0</v>
      </c>
      <c r="AC163" s="463">
        <f t="shared" si="109"/>
        <v>1.4665784498253722</v>
      </c>
      <c r="AD163" s="463">
        <f t="shared" si="110"/>
        <v>11.056932853037104</v>
      </c>
      <c r="AE163" s="463">
        <f t="shared" si="111"/>
        <v>0.2200603754098282</v>
      </c>
      <c r="AF163" s="463">
        <f t="shared" si="127"/>
        <v>0.36960000000000004</v>
      </c>
      <c r="AG163" s="463">
        <f t="shared" si="112"/>
        <v>0.61680734666223447</v>
      </c>
      <c r="AH163" s="463">
        <f t="shared" si="113"/>
        <v>0</v>
      </c>
      <c r="AI163">
        <f t="shared" si="128"/>
        <v>0</v>
      </c>
      <c r="AJ163" s="464">
        <f t="shared" si="129"/>
        <v>0.43150104</v>
      </c>
      <c r="AK163">
        <f t="shared" si="133"/>
        <v>7.2000000000000008E-2</v>
      </c>
      <c r="AL163" s="464">
        <f t="shared" si="134"/>
        <v>0.98399999999999999</v>
      </c>
      <c r="AM163" s="464">
        <f t="shared" si="135"/>
        <v>0.82265384615384629</v>
      </c>
      <c r="AN163" s="464">
        <f t="shared" si="114"/>
        <v>1.056</v>
      </c>
      <c r="AO163" s="464">
        <f t="shared" si="115"/>
        <v>6.6337294825860891</v>
      </c>
      <c r="AP163" s="100">
        <f t="shared" si="130"/>
        <v>181.72000000000003</v>
      </c>
      <c r="AQ163" s="10">
        <f t="shared" si="116"/>
        <v>0.96478047182389659</v>
      </c>
      <c r="AR163" s="77">
        <f t="shared" si="117"/>
        <v>73.328922491268614</v>
      </c>
      <c r="AS163" s="77">
        <f t="shared" si="118"/>
        <v>30.840367333111722</v>
      </c>
      <c r="AT163" s="10"/>
      <c r="AU163">
        <f t="shared" si="119"/>
        <v>96.478047182389659</v>
      </c>
    </row>
    <row r="164" spans="7:47" x14ac:dyDescent="0.2">
      <c r="G164">
        <v>155</v>
      </c>
      <c r="H164">
        <f t="shared" si="120"/>
        <v>15.5</v>
      </c>
      <c r="I164" s="463">
        <f t="shared" si="97"/>
        <v>0.49605833333333343</v>
      </c>
      <c r="J164" s="464">
        <f t="shared" si="121"/>
        <v>8.0692155555555569</v>
      </c>
      <c r="K164" s="464">
        <f t="shared" si="131"/>
        <v>19.534607777777779</v>
      </c>
      <c r="L164" s="464">
        <f t="shared" si="98"/>
        <v>11.465392222222221</v>
      </c>
      <c r="M164" s="77">
        <f t="shared" si="122"/>
        <v>0</v>
      </c>
      <c r="N164" s="463">
        <f t="shared" si="99"/>
        <v>15.674055632589214</v>
      </c>
      <c r="O164" s="463">
        <f t="shared" si="100"/>
        <v>1.3622488501553682</v>
      </c>
      <c r="P164">
        <f t="shared" si="123"/>
        <v>0.5</v>
      </c>
      <c r="Q164" s="463">
        <f t="shared" si="132"/>
        <v>1.8622488501553682</v>
      </c>
      <c r="R164" s="9">
        <f t="shared" si="101"/>
        <v>2.3293818865745584</v>
      </c>
      <c r="S164" s="9">
        <f t="shared" si="102"/>
        <v>1.6278059920504944E-2</v>
      </c>
      <c r="T164" s="9">
        <f t="shared" si="103"/>
        <v>1.6278059920504944E-2</v>
      </c>
      <c r="U164" s="463">
        <f t="shared" si="104"/>
        <v>11.039458184531611</v>
      </c>
      <c r="V164" s="465">
        <f t="shared" si="105"/>
        <v>1.2186963700802198</v>
      </c>
      <c r="W164" s="463">
        <f t="shared" si="106"/>
        <v>1.2186963700802198</v>
      </c>
      <c r="X164" s="463">
        <f t="shared" si="107"/>
        <v>11.039458184531611</v>
      </c>
      <c r="Y164" s="463">
        <f t="shared" si="108"/>
        <v>0.21936534661443954</v>
      </c>
      <c r="Z164" s="463">
        <f t="shared" si="124"/>
        <v>1.163369205702087</v>
      </c>
      <c r="AA164" s="463">
        <f t="shared" si="125"/>
        <v>2.9999999999999992E-2</v>
      </c>
      <c r="AB164" s="463">
        <f t="shared" si="126"/>
        <v>0</v>
      </c>
      <c r="AC164" s="463">
        <f t="shared" si="109"/>
        <v>1.4775596283184422</v>
      </c>
      <c r="AD164" s="463">
        <f t="shared" si="110"/>
        <v>11.126831667886401</v>
      </c>
      <c r="AE164" s="463">
        <f t="shared" si="111"/>
        <v>0.22285148933786342</v>
      </c>
      <c r="AF164" s="463">
        <f t="shared" si="127"/>
        <v>0.372</v>
      </c>
      <c r="AG164" s="463">
        <f t="shared" si="112"/>
        <v>0.62260100142397923</v>
      </c>
      <c r="AH164" s="463">
        <f t="shared" si="113"/>
        <v>0</v>
      </c>
      <c r="AI164">
        <f t="shared" si="128"/>
        <v>0</v>
      </c>
      <c r="AJ164" s="464">
        <f t="shared" si="129"/>
        <v>0.43149779999999999</v>
      </c>
      <c r="AK164">
        <f t="shared" si="133"/>
        <v>7.2000000000000008E-2</v>
      </c>
      <c r="AL164" s="464">
        <f t="shared" si="134"/>
        <v>0.98399999999999999</v>
      </c>
      <c r="AM164" s="464">
        <f t="shared" si="135"/>
        <v>0.82265384615384629</v>
      </c>
      <c r="AN164" s="464">
        <f t="shared" si="114"/>
        <v>1.056</v>
      </c>
      <c r="AO164" s="464">
        <f t="shared" si="115"/>
        <v>6.6848817098985149</v>
      </c>
      <c r="AP164" s="100">
        <f t="shared" si="130"/>
        <v>182.9</v>
      </c>
      <c r="AQ164" s="10">
        <f t="shared" si="116"/>
        <v>0.96473937346898964</v>
      </c>
      <c r="AR164" s="77">
        <f t="shared" si="117"/>
        <v>73.877981415922108</v>
      </c>
      <c r="AS164" s="77">
        <f t="shared" si="118"/>
        <v>31.130050071198962</v>
      </c>
      <c r="AT164" s="10"/>
      <c r="AU164">
        <f t="shared" si="119"/>
        <v>96.473937346898964</v>
      </c>
    </row>
    <row r="165" spans="7:47" x14ac:dyDescent="0.2">
      <c r="G165">
        <v>156</v>
      </c>
      <c r="H165">
        <f t="shared" si="120"/>
        <v>15.600000000000001</v>
      </c>
      <c r="I165" s="463">
        <f t="shared" si="97"/>
        <v>0.49608666666666662</v>
      </c>
      <c r="J165" s="464">
        <f t="shared" si="121"/>
        <v>8.0696764444444433</v>
      </c>
      <c r="K165" s="464">
        <f t="shared" si="131"/>
        <v>19.634838222222221</v>
      </c>
      <c r="L165" s="464">
        <f t="shared" si="98"/>
        <v>11.56516177777778</v>
      </c>
      <c r="M165" s="77">
        <f t="shared" si="122"/>
        <v>0</v>
      </c>
      <c r="N165" s="463">
        <f t="shared" si="99"/>
        <v>15.772971813406054</v>
      </c>
      <c r="O165" s="463">
        <f t="shared" si="100"/>
        <v>1.3814030481729205</v>
      </c>
      <c r="P165">
        <f t="shared" si="123"/>
        <v>0.5</v>
      </c>
      <c r="Q165" s="463">
        <f t="shared" si="132"/>
        <v>1.8814030481729205</v>
      </c>
      <c r="R165" s="9">
        <f t="shared" si="101"/>
        <v>2.3295149337365908</v>
      </c>
      <c r="S165" s="9">
        <f t="shared" si="102"/>
        <v>1.627991947950538E-2</v>
      </c>
      <c r="T165" s="9">
        <f t="shared" si="103"/>
        <v>1.627991947950538E-2</v>
      </c>
      <c r="U165" s="463">
        <f t="shared" si="104"/>
        <v>11.10944349923658</v>
      </c>
      <c r="V165" s="465">
        <f t="shared" si="105"/>
        <v>1.234197348627299</v>
      </c>
      <c r="W165" s="463">
        <f t="shared" si="106"/>
        <v>1.234197348627299</v>
      </c>
      <c r="X165" s="463">
        <f t="shared" si="107"/>
        <v>11.10944349923658</v>
      </c>
      <c r="Y165" s="463">
        <f t="shared" si="108"/>
        <v>0.22215552275291381</v>
      </c>
      <c r="Z165" s="463">
        <f t="shared" si="124"/>
        <v>1.1702835328422239</v>
      </c>
      <c r="AA165" s="463">
        <f t="shared" si="125"/>
        <v>2.9999999999999992E-2</v>
      </c>
      <c r="AB165" s="463">
        <f t="shared" si="126"/>
        <v>0</v>
      </c>
      <c r="AC165" s="463">
        <f t="shared" si="109"/>
        <v>1.4885782305902129</v>
      </c>
      <c r="AD165" s="463">
        <f t="shared" si="110"/>
        <v>11.196736353231328</v>
      </c>
      <c r="AE165" s="463">
        <f t="shared" si="111"/>
        <v>0.22566042893478958</v>
      </c>
      <c r="AF165" s="463">
        <f t="shared" si="127"/>
        <v>0.37440000000000007</v>
      </c>
      <c r="AG165" s="463">
        <f t="shared" si="112"/>
        <v>0.62842244461563213</v>
      </c>
      <c r="AH165" s="463">
        <f t="shared" si="113"/>
        <v>0</v>
      </c>
      <c r="AI165">
        <f t="shared" si="128"/>
        <v>0</v>
      </c>
      <c r="AJ165" s="464">
        <f t="shared" si="129"/>
        <v>0.43149455999999997</v>
      </c>
      <c r="AK165">
        <f t="shared" si="133"/>
        <v>7.2000000000000008E-2</v>
      </c>
      <c r="AL165" s="464">
        <f t="shared" si="134"/>
        <v>0.98399999999999999</v>
      </c>
      <c r="AM165" s="464">
        <f t="shared" si="135"/>
        <v>0.82265384615384629</v>
      </c>
      <c r="AN165" s="464">
        <f t="shared" si="114"/>
        <v>1.056</v>
      </c>
      <c r="AO165" s="464">
        <f t="shared" si="115"/>
        <v>6.7363755514855699</v>
      </c>
      <c r="AP165" s="100">
        <f t="shared" si="130"/>
        <v>184.08000000000004</v>
      </c>
      <c r="AQ165" s="10">
        <f t="shared" si="116"/>
        <v>0.96469707837172514</v>
      </c>
      <c r="AR165" s="77">
        <f t="shared" si="117"/>
        <v>74.428911529510643</v>
      </c>
      <c r="AS165" s="77">
        <f t="shared" si="118"/>
        <v>31.421122230781606</v>
      </c>
      <c r="AT165" s="10"/>
      <c r="AU165">
        <f t="shared" si="119"/>
        <v>96.469707837172507</v>
      </c>
    </row>
    <row r="166" spans="7:47" x14ac:dyDescent="0.2">
      <c r="G166">
        <v>157</v>
      </c>
      <c r="H166">
        <f t="shared" si="120"/>
        <v>15.700000000000001</v>
      </c>
      <c r="I166" s="463">
        <f t="shared" si="97"/>
        <v>0.49611500000000003</v>
      </c>
      <c r="J166" s="464">
        <f t="shared" si="121"/>
        <v>8.0701373333333333</v>
      </c>
      <c r="K166" s="464">
        <f t="shared" si="131"/>
        <v>19.735068666666667</v>
      </c>
      <c r="L166" s="464">
        <f t="shared" si="98"/>
        <v>11.664931333333335</v>
      </c>
      <c r="M166" s="77">
        <f t="shared" si="122"/>
        <v>0</v>
      </c>
      <c r="N166" s="463">
        <f t="shared" si="99"/>
        <v>15.871901578415393</v>
      </c>
      <c r="O166" s="463">
        <f t="shared" si="100"/>
        <v>1.4007339187333339</v>
      </c>
      <c r="P166">
        <f t="shared" si="123"/>
        <v>0.5</v>
      </c>
      <c r="Q166" s="463">
        <f t="shared" si="132"/>
        <v>1.9007339187333339</v>
      </c>
      <c r="R166" s="9">
        <f t="shared" si="101"/>
        <v>2.3296479808986246</v>
      </c>
      <c r="S166" s="9">
        <f t="shared" si="102"/>
        <v>1.6281779144715115E-2</v>
      </c>
      <c r="T166" s="9">
        <f t="shared" si="103"/>
        <v>1.6281779144715115E-2</v>
      </c>
      <c r="U166" s="463">
        <f t="shared" si="104"/>
        <v>11.179442352079111</v>
      </c>
      <c r="V166" s="465">
        <f t="shared" si="105"/>
        <v>1.2497993130346012</v>
      </c>
      <c r="W166" s="463">
        <f t="shared" si="106"/>
        <v>1.2497993130346012</v>
      </c>
      <c r="X166" s="463">
        <f t="shared" si="107"/>
        <v>11.179442352079111</v>
      </c>
      <c r="Y166" s="463">
        <f t="shared" si="108"/>
        <v>0.22496387634622822</v>
      </c>
      <c r="Z166" s="463">
        <f t="shared" si="124"/>
        <v>1.1771978599823609</v>
      </c>
      <c r="AA166" s="463">
        <f t="shared" si="125"/>
        <v>2.9999999999999992E-2</v>
      </c>
      <c r="AB166" s="463">
        <f t="shared" si="126"/>
        <v>0</v>
      </c>
      <c r="AC166" s="463">
        <f t="shared" si="109"/>
        <v>1.4996344522234994</v>
      </c>
      <c r="AD166" s="463">
        <f t="shared" si="110"/>
        <v>11.266646724356139</v>
      </c>
      <c r="AE166" s="463">
        <f t="shared" si="111"/>
        <v>0.22848719114060084</v>
      </c>
      <c r="AF166" s="463">
        <f t="shared" si="127"/>
        <v>0.37680000000000002</v>
      </c>
      <c r="AG166" s="463">
        <f t="shared" si="112"/>
        <v>0.63427178694432862</v>
      </c>
      <c r="AH166" s="463">
        <f t="shared" si="113"/>
        <v>0</v>
      </c>
      <c r="AI166">
        <f t="shared" si="128"/>
        <v>0</v>
      </c>
      <c r="AJ166" s="464">
        <f t="shared" si="129"/>
        <v>0.43149131999999996</v>
      </c>
      <c r="AK166">
        <f t="shared" si="133"/>
        <v>7.2000000000000008E-2</v>
      </c>
      <c r="AL166" s="464">
        <f t="shared" si="134"/>
        <v>0.98399999999999999</v>
      </c>
      <c r="AM166" s="464">
        <f t="shared" si="135"/>
        <v>0.82265384615384629</v>
      </c>
      <c r="AN166" s="464">
        <f t="shared" si="114"/>
        <v>1.056</v>
      </c>
      <c r="AO166" s="464">
        <f t="shared" si="115"/>
        <v>6.7882125700804785</v>
      </c>
      <c r="AP166" s="100">
        <f t="shared" si="130"/>
        <v>185.26000000000002</v>
      </c>
      <c r="AQ166" s="10">
        <f t="shared" si="116"/>
        <v>0.96465360193027894</v>
      </c>
      <c r="AR166" s="77">
        <f t="shared" si="117"/>
        <v>74.981722611174973</v>
      </c>
      <c r="AS166" s="77">
        <f t="shared" si="118"/>
        <v>31.713589347216431</v>
      </c>
      <c r="AT166" s="10"/>
      <c r="AU166">
        <f t="shared" si="119"/>
        <v>96.465360193027891</v>
      </c>
    </row>
    <row r="167" spans="7:47" x14ac:dyDescent="0.2">
      <c r="G167">
        <v>158</v>
      </c>
      <c r="H167">
        <f t="shared" si="120"/>
        <v>15.8</v>
      </c>
      <c r="I167" s="463">
        <f t="shared" si="97"/>
        <v>0.49614333333333338</v>
      </c>
      <c r="J167" s="464">
        <f t="shared" si="121"/>
        <v>8.0705982222222215</v>
      </c>
      <c r="K167" s="464">
        <f t="shared" si="131"/>
        <v>19.835299111111112</v>
      </c>
      <c r="L167" s="464">
        <f t="shared" si="98"/>
        <v>11.764700888888889</v>
      </c>
      <c r="M167" s="77">
        <f t="shared" si="122"/>
        <v>0</v>
      </c>
      <c r="N167" s="463">
        <f t="shared" si="99"/>
        <v>15.970844675179563</v>
      </c>
      <c r="O167" s="463">
        <f t="shared" si="100"/>
        <v>1.4202427176153436</v>
      </c>
      <c r="P167">
        <f t="shared" si="123"/>
        <v>0.5</v>
      </c>
      <c r="Q167" s="463">
        <f t="shared" si="132"/>
        <v>1.9202427176153436</v>
      </c>
      <c r="R167" s="9">
        <f t="shared" si="101"/>
        <v>2.3297810280606575</v>
      </c>
      <c r="S167" s="9">
        <f t="shared" si="102"/>
        <v>1.6283638916134123E-2</v>
      </c>
      <c r="T167" s="9">
        <f t="shared" si="103"/>
        <v>1.6283638916134123E-2</v>
      </c>
      <c r="U167" s="463">
        <f t="shared" si="104"/>
        <v>11.249454565898551</v>
      </c>
      <c r="V167" s="465">
        <f t="shared" si="105"/>
        <v>1.2655022803021576</v>
      </c>
      <c r="W167" s="463">
        <f t="shared" si="106"/>
        <v>1.2655022803021576</v>
      </c>
      <c r="X167" s="463">
        <f t="shared" si="107"/>
        <v>11.249454565898551</v>
      </c>
      <c r="Y167" s="463">
        <f t="shared" si="108"/>
        <v>0.22779041045438836</v>
      </c>
      <c r="Z167" s="463">
        <f t="shared" si="124"/>
        <v>1.184112187122498</v>
      </c>
      <c r="AA167" s="463">
        <f t="shared" si="125"/>
        <v>2.9999999999999992E-2</v>
      </c>
      <c r="AB167" s="463">
        <f t="shared" si="126"/>
        <v>0</v>
      </c>
      <c r="AC167" s="463">
        <f t="shared" si="109"/>
        <v>1.5107284901480804</v>
      </c>
      <c r="AD167" s="463">
        <f t="shared" si="110"/>
        <v>11.336562601092787</v>
      </c>
      <c r="AE167" s="463">
        <f t="shared" si="111"/>
        <v>0.23133177289529214</v>
      </c>
      <c r="AF167" s="463">
        <f t="shared" si="127"/>
        <v>0.37920000000000004</v>
      </c>
      <c r="AG167" s="463">
        <f t="shared" si="112"/>
        <v>0.64014913998952694</v>
      </c>
      <c r="AH167" s="463">
        <f t="shared" si="113"/>
        <v>0</v>
      </c>
      <c r="AI167">
        <f t="shared" si="128"/>
        <v>0</v>
      </c>
      <c r="AJ167" s="464">
        <f t="shared" si="129"/>
        <v>0.43148808</v>
      </c>
      <c r="AK167">
        <f t="shared" si="133"/>
        <v>7.2000000000000008E-2</v>
      </c>
      <c r="AL167" s="464">
        <f t="shared" si="134"/>
        <v>0.98399999999999999</v>
      </c>
      <c r="AM167" s="464">
        <f t="shared" si="135"/>
        <v>0.82265384615384629</v>
      </c>
      <c r="AN167" s="464">
        <f t="shared" si="114"/>
        <v>1.056</v>
      </c>
      <c r="AO167" s="464">
        <f t="shared" si="115"/>
        <v>6.8403943469712427</v>
      </c>
      <c r="AP167" s="100">
        <f t="shared" si="130"/>
        <v>186.44000000000003</v>
      </c>
      <c r="AQ167" s="10">
        <f t="shared" si="116"/>
        <v>0.96460895907170197</v>
      </c>
      <c r="AR167" s="77">
        <f t="shared" si="117"/>
        <v>75.536424507404021</v>
      </c>
      <c r="AS167" s="77">
        <f t="shared" si="118"/>
        <v>32.007456999476346</v>
      </c>
      <c r="AT167" s="10"/>
      <c r="AU167">
        <f t="shared" si="119"/>
        <v>96.460895907170197</v>
      </c>
    </row>
    <row r="168" spans="7:47" x14ac:dyDescent="0.2">
      <c r="G168">
        <v>159</v>
      </c>
      <c r="H168">
        <f t="shared" si="120"/>
        <v>15.9</v>
      </c>
      <c r="I168" s="463">
        <f t="shared" si="97"/>
        <v>0.49617166666666668</v>
      </c>
      <c r="J168" s="464">
        <f t="shared" si="121"/>
        <v>8.0710591111111114</v>
      </c>
      <c r="K168" s="464">
        <f t="shared" si="131"/>
        <v>19.935529555555554</v>
      </c>
      <c r="L168" s="464">
        <f t="shared" si="98"/>
        <v>11.864470444444445</v>
      </c>
      <c r="M168" s="77">
        <f t="shared" si="122"/>
        <v>0</v>
      </c>
      <c r="N168" s="463">
        <f t="shared" si="99"/>
        <v>16.069800857444399</v>
      </c>
      <c r="O168" s="463">
        <f t="shared" si="100"/>
        <v>1.439930717159271</v>
      </c>
      <c r="P168">
        <f t="shared" si="123"/>
        <v>0.5</v>
      </c>
      <c r="Q168" s="463">
        <f t="shared" si="132"/>
        <v>1.939930717159271</v>
      </c>
      <c r="R168" s="9">
        <f t="shared" si="101"/>
        <v>2.3299140752226912</v>
      </c>
      <c r="S168" s="9">
        <f t="shared" si="102"/>
        <v>1.6285498793762426E-2</v>
      </c>
      <c r="T168" s="9">
        <f t="shared" si="103"/>
        <v>1.6285498793762426E-2</v>
      </c>
      <c r="U168" s="463">
        <f t="shared" si="104"/>
        <v>11.319479967869535</v>
      </c>
      <c r="V168" s="465">
        <f t="shared" si="105"/>
        <v>1.2813062674299969</v>
      </c>
      <c r="W168" s="463">
        <f t="shared" si="106"/>
        <v>1.2813062674299969</v>
      </c>
      <c r="X168" s="463">
        <f t="shared" si="107"/>
        <v>11.319479967869535</v>
      </c>
      <c r="Y168" s="463">
        <f t="shared" si="108"/>
        <v>0.23063512813739942</v>
      </c>
      <c r="Z168" s="463">
        <f t="shared" si="124"/>
        <v>1.1910265142626348</v>
      </c>
      <c r="AA168" s="463">
        <f t="shared" si="125"/>
        <v>2.9999999999999992E-2</v>
      </c>
      <c r="AB168" s="463">
        <f t="shared" si="126"/>
        <v>0</v>
      </c>
      <c r="AC168" s="463">
        <f t="shared" si="109"/>
        <v>1.5218605426524128</v>
      </c>
      <c r="AD168" s="463">
        <f t="shared" si="110"/>
        <v>11.406483807682413</v>
      </c>
      <c r="AE168" s="463">
        <f t="shared" si="111"/>
        <v>0.23419417113885793</v>
      </c>
      <c r="AF168" s="463">
        <f t="shared" si="127"/>
        <v>0.38159999999999999</v>
      </c>
      <c r="AG168" s="463">
        <f t="shared" si="112"/>
        <v>0.64605461620958526</v>
      </c>
      <c r="AH168" s="463">
        <f t="shared" si="113"/>
        <v>0</v>
      </c>
      <c r="AI168">
        <f t="shared" si="128"/>
        <v>0</v>
      </c>
      <c r="AJ168" s="464">
        <f t="shared" si="129"/>
        <v>0.43148483999999998</v>
      </c>
      <c r="AK168">
        <f t="shared" si="133"/>
        <v>7.2000000000000008E-2</v>
      </c>
      <c r="AL168" s="464">
        <f t="shared" si="134"/>
        <v>0.98399999999999999</v>
      </c>
      <c r="AM168" s="464">
        <f t="shared" si="135"/>
        <v>0.82265384615384629</v>
      </c>
      <c r="AN168" s="464">
        <f t="shared" si="114"/>
        <v>1.056</v>
      </c>
      <c r="AO168" s="464">
        <f t="shared" si="115"/>
        <v>6.8929224822450283</v>
      </c>
      <c r="AP168" s="100">
        <f t="shared" si="130"/>
        <v>187.62</v>
      </c>
      <c r="AQ168" s="10">
        <f t="shared" si="116"/>
        <v>0.9645631642654785</v>
      </c>
      <c r="AR168" s="77">
        <f t="shared" si="117"/>
        <v>76.093027132620634</v>
      </c>
      <c r="AS168" s="77">
        <f t="shared" si="118"/>
        <v>32.302730810479261</v>
      </c>
      <c r="AT168" s="10"/>
      <c r="AU168">
        <f t="shared" si="119"/>
        <v>96.456316426547843</v>
      </c>
    </row>
    <row r="169" spans="7:47" x14ac:dyDescent="0.2">
      <c r="G169">
        <v>160</v>
      </c>
      <c r="H169">
        <f t="shared" si="120"/>
        <v>16</v>
      </c>
      <c r="I169" s="463">
        <f t="shared" si="97"/>
        <v>0.49620000000000003</v>
      </c>
      <c r="J169" s="464">
        <f t="shared" si="121"/>
        <v>8.0715199999999996</v>
      </c>
      <c r="K169" s="464">
        <f t="shared" si="131"/>
        <v>20.03576</v>
      </c>
      <c r="L169" s="464">
        <f t="shared" si="98"/>
        <v>11.96424</v>
      </c>
      <c r="M169" s="77">
        <f t="shared" si="122"/>
        <v>0</v>
      </c>
      <c r="N169" s="463">
        <f t="shared" si="99"/>
        <v>16.168769884952081</v>
      </c>
      <c r="O169" s="463">
        <f t="shared" si="100"/>
        <v>1.4597992064972483</v>
      </c>
      <c r="P169">
        <f t="shared" si="123"/>
        <v>0.5</v>
      </c>
      <c r="Q169" s="463">
        <f t="shared" si="132"/>
        <v>1.9597992064972483</v>
      </c>
      <c r="R169" s="9">
        <f t="shared" si="101"/>
        <v>2.3300471223847241</v>
      </c>
      <c r="S169" s="9">
        <f t="shared" si="102"/>
        <v>1.62873587776E-2</v>
      </c>
      <c r="T169" s="9">
        <f t="shared" si="103"/>
        <v>1.62873587776E-2</v>
      </c>
      <c r="U169" s="463">
        <f t="shared" si="104"/>
        <v>11.389518389370775</v>
      </c>
      <c r="V169" s="465">
        <f t="shared" si="105"/>
        <v>1.2972112914181506</v>
      </c>
      <c r="W169" s="463">
        <f t="shared" si="106"/>
        <v>1.2972112914181506</v>
      </c>
      <c r="X169" s="463">
        <f t="shared" si="107"/>
        <v>11.389518389370775</v>
      </c>
      <c r="Y169" s="463">
        <f t="shared" si="108"/>
        <v>0.2334980324552671</v>
      </c>
      <c r="Z169" s="463">
        <f t="shared" si="124"/>
        <v>1.1979408414027721</v>
      </c>
      <c r="AA169" s="463">
        <f t="shared" si="125"/>
        <v>2.9999999999999992E-2</v>
      </c>
      <c r="AB169" s="463">
        <f t="shared" si="126"/>
        <v>0</v>
      </c>
      <c r="AC169" s="463">
        <f t="shared" si="109"/>
        <v>1.5330308093954688</v>
      </c>
      <c r="AD169" s="463">
        <f t="shared" si="110"/>
        <v>11.476410172641891</v>
      </c>
      <c r="AE169" s="463">
        <f t="shared" si="111"/>
        <v>0.23707438281129289</v>
      </c>
      <c r="AF169" s="463">
        <f t="shared" si="127"/>
        <v>0.38400000000000001</v>
      </c>
      <c r="AG169" s="463">
        <f t="shared" si="112"/>
        <v>0.6519883289484153</v>
      </c>
      <c r="AH169" s="463">
        <f t="shared" si="113"/>
        <v>0</v>
      </c>
      <c r="AI169">
        <f t="shared" si="128"/>
        <v>0</v>
      </c>
      <c r="AJ169" s="464">
        <f t="shared" si="129"/>
        <v>0.43148159999999997</v>
      </c>
      <c r="AK169">
        <f t="shared" si="133"/>
        <v>7.2000000000000008E-2</v>
      </c>
      <c r="AL169" s="464">
        <f t="shared" si="134"/>
        <v>0.98399999999999999</v>
      </c>
      <c r="AM169" s="464">
        <f t="shared" si="135"/>
        <v>0.82265384615384629</v>
      </c>
      <c r="AN169" s="464">
        <f t="shared" si="114"/>
        <v>1.056</v>
      </c>
      <c r="AO169" s="464">
        <f t="shared" si="115"/>
        <v>6.9457985950368828</v>
      </c>
      <c r="AP169" s="100">
        <f t="shared" si="130"/>
        <v>188.8</v>
      </c>
      <c r="AQ169" s="10">
        <f t="shared" si="116"/>
        <v>0.96451623153656296</v>
      </c>
      <c r="AR169" s="77">
        <f t="shared" si="117"/>
        <v>76.651540469773437</v>
      </c>
      <c r="AS169" s="77">
        <f t="shared" si="118"/>
        <v>32.599416447420765</v>
      </c>
      <c r="AT169" s="10"/>
      <c r="AU169">
        <f t="shared" si="119"/>
        <v>96.4516231536563</v>
      </c>
    </row>
    <row r="170" spans="7:47" x14ac:dyDescent="0.2">
      <c r="G170">
        <v>161</v>
      </c>
      <c r="H170">
        <f t="shared" si="120"/>
        <v>16.100000000000001</v>
      </c>
      <c r="I170" s="463">
        <f t="shared" si="97"/>
        <v>0.49622833333333344</v>
      </c>
      <c r="J170" s="464">
        <f t="shared" si="121"/>
        <v>8.0719808888888895</v>
      </c>
      <c r="K170" s="464">
        <f t="shared" si="131"/>
        <v>20.135990444444445</v>
      </c>
      <c r="L170" s="464">
        <f t="shared" si="98"/>
        <v>12.064009555555558</v>
      </c>
      <c r="M170" s="77">
        <f t="shared" si="122"/>
        <v>0</v>
      </c>
      <c r="N170" s="463">
        <f t="shared" si="99"/>
        <v>16.267751523260642</v>
      </c>
      <c r="O170" s="463">
        <f t="shared" si="100"/>
        <v>1.4798494917876419</v>
      </c>
      <c r="P170">
        <f t="shared" si="123"/>
        <v>0.5</v>
      </c>
      <c r="Q170" s="463">
        <f t="shared" si="132"/>
        <v>1.9798494917876419</v>
      </c>
      <c r="R170" s="9">
        <f t="shared" si="101"/>
        <v>2.3301801695467574</v>
      </c>
      <c r="S170" s="9">
        <f t="shared" si="102"/>
        <v>1.6289218867646865E-2</v>
      </c>
      <c r="T170" s="9">
        <f t="shared" si="103"/>
        <v>1.6289218867646865E-2</v>
      </c>
      <c r="U170" s="463">
        <f t="shared" si="104"/>
        <v>11.459569665858522</v>
      </c>
      <c r="V170" s="465">
        <f t="shared" si="105"/>
        <v>1.3132173692666482</v>
      </c>
      <c r="W170" s="463">
        <f t="shared" si="106"/>
        <v>1.3132173692666482</v>
      </c>
      <c r="X170" s="463">
        <f t="shared" si="107"/>
        <v>11.459569665858522</v>
      </c>
      <c r="Y170" s="463">
        <f t="shared" si="108"/>
        <v>0.23637912646799666</v>
      </c>
      <c r="Z170" s="463">
        <f t="shared" si="124"/>
        <v>1.204855168542909</v>
      </c>
      <c r="AA170" s="463">
        <f t="shared" si="125"/>
        <v>2.9999999999999992E-2</v>
      </c>
      <c r="AB170" s="463">
        <f t="shared" si="126"/>
        <v>0</v>
      </c>
      <c r="AC170" s="463">
        <f t="shared" si="109"/>
        <v>1.5442394914186923</v>
      </c>
      <c r="AD170" s="463">
        <f t="shared" si="110"/>
        <v>11.546341528635127</v>
      </c>
      <c r="AE170" s="463">
        <f t="shared" si="111"/>
        <v>0.23997240485259147</v>
      </c>
      <c r="AF170" s="463">
        <f t="shared" si="127"/>
        <v>0.38640000000000002</v>
      </c>
      <c r="AG170" s="463">
        <f t="shared" si="112"/>
        <v>0.65795039244220388</v>
      </c>
      <c r="AH170" s="463">
        <f t="shared" si="113"/>
        <v>0</v>
      </c>
      <c r="AI170">
        <f t="shared" si="128"/>
        <v>0</v>
      </c>
      <c r="AJ170" s="464">
        <f t="shared" si="129"/>
        <v>0.43147835999999995</v>
      </c>
      <c r="AK170">
        <f t="shared" si="133"/>
        <v>7.2000000000000008E-2</v>
      </c>
      <c r="AL170" s="464">
        <f t="shared" si="134"/>
        <v>0.98399999999999999</v>
      </c>
      <c r="AM170" s="464">
        <f t="shared" si="135"/>
        <v>0.82265384615384629</v>
      </c>
      <c r="AN170" s="464">
        <f t="shared" si="114"/>
        <v>1.056</v>
      </c>
      <c r="AO170" s="464">
        <f t="shared" si="115"/>
        <v>6.9990243237828329</v>
      </c>
      <c r="AP170" s="100">
        <f t="shared" si="130"/>
        <v>189.98000000000002</v>
      </c>
      <c r="AQ170" s="10">
        <f t="shared" si="116"/>
        <v>0.96446817447791677</v>
      </c>
      <c r="AR170" s="77">
        <f t="shared" si="117"/>
        <v>77.211974570934615</v>
      </c>
      <c r="AS170" s="77">
        <f t="shared" si="118"/>
        <v>32.897519622110195</v>
      </c>
      <c r="AT170" s="10"/>
      <c r="AU170">
        <f t="shared" si="119"/>
        <v>96.446817447791673</v>
      </c>
    </row>
    <row r="171" spans="7:47" x14ac:dyDescent="0.2">
      <c r="G171">
        <v>162</v>
      </c>
      <c r="H171">
        <f t="shared" si="120"/>
        <v>16.200000000000003</v>
      </c>
      <c r="I171" s="463">
        <f t="shared" si="97"/>
        <v>0.49625666666666662</v>
      </c>
      <c r="J171" s="464">
        <f t="shared" si="121"/>
        <v>8.0724417777777777</v>
      </c>
      <c r="K171" s="464">
        <f t="shared" si="131"/>
        <v>20.236220888888891</v>
      </c>
      <c r="L171" s="464">
        <f t="shared" si="98"/>
        <v>12.163779111111115</v>
      </c>
      <c r="M171" s="77">
        <f t="shared" si="122"/>
        <v>0</v>
      </c>
      <c r="N171" s="463">
        <f t="shared" si="99"/>
        <v>16.36674554356998</v>
      </c>
      <c r="O171" s="463">
        <f t="shared" si="100"/>
        <v>1.5000828964537753</v>
      </c>
      <c r="P171">
        <f t="shared" si="123"/>
        <v>0.5</v>
      </c>
      <c r="Q171" s="463">
        <f t="shared" si="132"/>
        <v>2.0000828964537751</v>
      </c>
      <c r="R171" s="9">
        <f t="shared" si="101"/>
        <v>2.3303132167087908</v>
      </c>
      <c r="S171" s="9">
        <f t="shared" si="102"/>
        <v>1.6291079063903015E-2</v>
      </c>
      <c r="T171" s="9">
        <f t="shared" si="103"/>
        <v>1.6291079063903015E-2</v>
      </c>
      <c r="U171" s="463">
        <f t="shared" si="104"/>
        <v>11.529633636744574</v>
      </c>
      <c r="V171" s="465">
        <f t="shared" si="105"/>
        <v>1.3293245179755193</v>
      </c>
      <c r="W171" s="463">
        <f t="shared" si="106"/>
        <v>1.3293245179755193</v>
      </c>
      <c r="X171" s="463">
        <f t="shared" si="107"/>
        <v>11.529633636744574</v>
      </c>
      <c r="Y171" s="463">
        <f t="shared" si="108"/>
        <v>0.23927841323559346</v>
      </c>
      <c r="Z171" s="463">
        <f t="shared" si="124"/>
        <v>1.2117694956830463</v>
      </c>
      <c r="AA171" s="463">
        <f t="shared" si="125"/>
        <v>2.9999999999999992E-2</v>
      </c>
      <c r="AB171" s="463">
        <f t="shared" si="126"/>
        <v>0</v>
      </c>
      <c r="AC171" s="463">
        <f t="shared" si="109"/>
        <v>1.5554867911580861</v>
      </c>
      <c r="AD171" s="463">
        <f t="shared" si="110"/>
        <v>11.616277712348991</v>
      </c>
      <c r="AE171" s="463">
        <f t="shared" si="111"/>
        <v>0.24288823420274858</v>
      </c>
      <c r="AF171" s="463">
        <f t="shared" si="127"/>
        <v>0.38880000000000009</v>
      </c>
      <c r="AG171" s="463">
        <f t="shared" si="112"/>
        <v>0.66394092182621134</v>
      </c>
      <c r="AH171" s="463">
        <f t="shared" si="113"/>
        <v>0</v>
      </c>
      <c r="AI171">
        <f t="shared" si="128"/>
        <v>0</v>
      </c>
      <c r="AJ171" s="464">
        <f t="shared" si="129"/>
        <v>0.43147511999999993</v>
      </c>
      <c r="AK171">
        <f t="shared" si="133"/>
        <v>7.2000000000000008E-2</v>
      </c>
      <c r="AL171" s="464">
        <f t="shared" si="134"/>
        <v>0.98399999999999999</v>
      </c>
      <c r="AM171" s="464">
        <f t="shared" si="135"/>
        <v>0.82265384615384629</v>
      </c>
      <c r="AN171" s="464">
        <f t="shared" si="114"/>
        <v>1.056</v>
      </c>
      <c r="AO171" s="464">
        <f t="shared" si="115"/>
        <v>7.052601326477494</v>
      </c>
      <c r="AP171" s="100">
        <f t="shared" si="130"/>
        <v>191.16000000000005</v>
      </c>
      <c r="AQ171" s="10">
        <f t="shared" si="116"/>
        <v>0.96441900626256805</v>
      </c>
      <c r="AR171" s="77">
        <f t="shared" si="117"/>
        <v>77.774339557904298</v>
      </c>
      <c r="AS171" s="77">
        <f t="shared" si="118"/>
        <v>33.197046091310568</v>
      </c>
      <c r="AT171" s="10"/>
      <c r="AU171">
        <f t="shared" si="119"/>
        <v>96.44190062625681</v>
      </c>
    </row>
    <row r="172" spans="7:47" x14ac:dyDescent="0.2">
      <c r="G172">
        <v>163</v>
      </c>
      <c r="H172">
        <f t="shared" si="120"/>
        <v>16.299999999999997</v>
      </c>
      <c r="I172" s="463">
        <f t="shared" si="97"/>
        <v>0.49628500000000003</v>
      </c>
      <c r="J172" s="464">
        <f t="shared" si="121"/>
        <v>8.0729026666666659</v>
      </c>
      <c r="K172" s="464">
        <f t="shared" si="131"/>
        <v>20.336451333333329</v>
      </c>
      <c r="L172" s="464">
        <f t="shared" si="98"/>
        <v>12.263548666666665</v>
      </c>
      <c r="M172" s="77">
        <f t="shared" si="122"/>
        <v>0</v>
      </c>
      <c r="N172" s="463">
        <f t="shared" si="99"/>
        <v>16.465751722553982</v>
      </c>
      <c r="O172" s="463">
        <f t="shared" si="100"/>
        <v>1.5205007614270256</v>
      </c>
      <c r="P172">
        <f t="shared" si="123"/>
        <v>0.5</v>
      </c>
      <c r="Q172" s="463">
        <f t="shared" si="132"/>
        <v>2.0205007614270256</v>
      </c>
      <c r="R172" s="9">
        <f t="shared" si="101"/>
        <v>2.3304462638708237</v>
      </c>
      <c r="S172" s="9">
        <f t="shared" si="102"/>
        <v>1.6292939366368442E-2</v>
      </c>
      <c r="T172" s="9">
        <f t="shared" si="103"/>
        <v>1.6292939366368442E-2</v>
      </c>
      <c r="U172" s="463">
        <f t="shared" si="104"/>
        <v>11.599710145278603</v>
      </c>
      <c r="V172" s="465">
        <f t="shared" si="105"/>
        <v>1.3455327545447935</v>
      </c>
      <c r="W172" s="463">
        <f t="shared" si="106"/>
        <v>1.3455327545447935</v>
      </c>
      <c r="X172" s="463">
        <f t="shared" si="107"/>
        <v>11.599710145278603</v>
      </c>
      <c r="Y172" s="463">
        <f t="shared" si="108"/>
        <v>0.24219589581806281</v>
      </c>
      <c r="Z172" s="463">
        <f t="shared" si="124"/>
        <v>1.2186838228231829</v>
      </c>
      <c r="AA172" s="463">
        <f t="shared" si="125"/>
        <v>2.9999999999999992E-2</v>
      </c>
      <c r="AB172" s="463">
        <f t="shared" si="126"/>
        <v>0</v>
      </c>
      <c r="AC172" s="463">
        <f t="shared" si="109"/>
        <v>1.5667729124564171</v>
      </c>
      <c r="AD172" s="463">
        <f t="shared" si="110"/>
        <v>11.686218564373595</v>
      </c>
      <c r="AE172" s="463">
        <f t="shared" si="111"/>
        <v>0.2458218678017581</v>
      </c>
      <c r="AF172" s="463">
        <f t="shared" si="127"/>
        <v>0.39119999999999994</v>
      </c>
      <c r="AG172" s="463">
        <f t="shared" si="112"/>
        <v>0.66996003314163921</v>
      </c>
      <c r="AH172" s="463">
        <f t="shared" si="113"/>
        <v>0</v>
      </c>
      <c r="AI172">
        <f t="shared" si="128"/>
        <v>0</v>
      </c>
      <c r="AJ172" s="464">
        <f t="shared" si="129"/>
        <v>0.43147187999999992</v>
      </c>
      <c r="AK172">
        <f t="shared" si="133"/>
        <v>7.2000000000000008E-2</v>
      </c>
      <c r="AL172" s="464">
        <f t="shared" si="134"/>
        <v>0.98399999999999999</v>
      </c>
      <c r="AM172" s="464">
        <f t="shared" si="135"/>
        <v>0.82265384615384629</v>
      </c>
      <c r="AN172" s="464">
        <f t="shared" si="114"/>
        <v>1.056</v>
      </c>
      <c r="AO172" s="464">
        <f t="shared" si="115"/>
        <v>7.1065312809362444</v>
      </c>
      <c r="AP172" s="100">
        <f t="shared" si="130"/>
        <v>192.33999999999997</v>
      </c>
      <c r="AQ172" s="10">
        <f t="shared" si="116"/>
        <v>0.96436873965521042</v>
      </c>
      <c r="AR172" s="77">
        <f t="shared" si="117"/>
        <v>78.338645622820863</v>
      </c>
      <c r="AS172" s="77">
        <f t="shared" si="118"/>
        <v>33.498001657081957</v>
      </c>
      <c r="AT172" s="10"/>
      <c r="AU172">
        <f t="shared" si="119"/>
        <v>96.436873965521045</v>
      </c>
    </row>
    <row r="173" spans="7:47" x14ac:dyDescent="0.2">
      <c r="G173">
        <v>164</v>
      </c>
      <c r="H173">
        <f t="shared" si="120"/>
        <v>16.399999999999999</v>
      </c>
      <c r="I173" s="463">
        <f t="shared" si="97"/>
        <v>0.49631333333333338</v>
      </c>
      <c r="J173" s="464">
        <f t="shared" si="121"/>
        <v>8.0733635555555558</v>
      </c>
      <c r="K173" s="464">
        <f t="shared" si="131"/>
        <v>20.436681777777778</v>
      </c>
      <c r="L173" s="464">
        <f t="shared" si="98"/>
        <v>12.363318222222221</v>
      </c>
      <c r="M173" s="77">
        <f t="shared" si="122"/>
        <v>0</v>
      </c>
      <c r="N173" s="463">
        <f t="shared" si="99"/>
        <v>16.564769842198665</v>
      </c>
      <c r="O173" s="463">
        <f t="shared" si="100"/>
        <v>1.5411044453944005</v>
      </c>
      <c r="P173">
        <f t="shared" si="123"/>
        <v>0.5</v>
      </c>
      <c r="Q173" s="463">
        <f t="shared" si="132"/>
        <v>2.0411044453944003</v>
      </c>
      <c r="R173" s="9">
        <f t="shared" si="101"/>
        <v>2.3305793110328574</v>
      </c>
      <c r="S173" s="9">
        <f t="shared" si="102"/>
        <v>1.6294799775043164E-2</v>
      </c>
      <c r="T173" s="9">
        <f t="shared" si="103"/>
        <v>1.6294799775043164E-2</v>
      </c>
      <c r="U173" s="463">
        <f t="shared" si="104"/>
        <v>11.669799038434652</v>
      </c>
      <c r="V173" s="465">
        <f t="shared" si="105"/>
        <v>1.3618420959745032</v>
      </c>
      <c r="W173" s="463">
        <f t="shared" si="106"/>
        <v>1.3618420959745032</v>
      </c>
      <c r="X173" s="463">
        <f t="shared" si="107"/>
        <v>11.669799038434652</v>
      </c>
      <c r="Y173" s="463">
        <f t="shared" si="108"/>
        <v>0.24513157727541057</v>
      </c>
      <c r="Z173" s="463">
        <f t="shared" si="124"/>
        <v>1.2255981499633202</v>
      </c>
      <c r="AA173" s="463">
        <f t="shared" si="125"/>
        <v>2.9999999999999992E-2</v>
      </c>
      <c r="AB173" s="463">
        <f t="shared" si="126"/>
        <v>0</v>
      </c>
      <c r="AC173" s="463">
        <f t="shared" si="109"/>
        <v>1.5780980605755615</v>
      </c>
      <c r="AD173" s="463">
        <f t="shared" si="110"/>
        <v>11.756163929086906</v>
      </c>
      <c r="AE173" s="463">
        <f t="shared" si="111"/>
        <v>0.24877330258961533</v>
      </c>
      <c r="AF173" s="463">
        <f t="shared" si="127"/>
        <v>0.39359999999999995</v>
      </c>
      <c r="AG173" s="463">
        <f t="shared" si="112"/>
        <v>0.67600784334257857</v>
      </c>
      <c r="AH173" s="463">
        <f t="shared" si="113"/>
        <v>0</v>
      </c>
      <c r="AI173">
        <f t="shared" si="128"/>
        <v>0</v>
      </c>
      <c r="AJ173" s="464">
        <f t="shared" si="129"/>
        <v>0.43146863999999996</v>
      </c>
      <c r="AK173">
        <f t="shared" si="133"/>
        <v>7.2000000000000008E-2</v>
      </c>
      <c r="AL173" s="464">
        <f t="shared" si="134"/>
        <v>0.98399999999999999</v>
      </c>
      <c r="AM173" s="464">
        <f t="shared" si="135"/>
        <v>0.82265384615384629</v>
      </c>
      <c r="AN173" s="464">
        <f t="shared" si="114"/>
        <v>1.056</v>
      </c>
      <c r="AO173" s="464">
        <f t="shared" si="115"/>
        <v>7.1608158850620871</v>
      </c>
      <c r="AP173" s="100">
        <f t="shared" si="130"/>
        <v>193.51999999999998</v>
      </c>
      <c r="AQ173" s="10">
        <f t="shared" si="116"/>
        <v>0.96431738702336467</v>
      </c>
      <c r="AR173" s="77">
        <f t="shared" si="117"/>
        <v>78.904903028778079</v>
      </c>
      <c r="AS173" s="77">
        <f t="shared" si="118"/>
        <v>33.800392167128926</v>
      </c>
      <c r="AT173" s="10"/>
      <c r="AU173">
        <f t="shared" si="119"/>
        <v>96.43173870233646</v>
      </c>
    </row>
    <row r="174" spans="7:47" x14ac:dyDescent="0.2">
      <c r="G174">
        <v>165</v>
      </c>
      <c r="H174">
        <f t="shared" si="120"/>
        <v>16.5</v>
      </c>
      <c r="I174" s="463">
        <f t="shared" ref="I174:I209" si="136">(Vout+Rdcr*H174+RdsonBot*H174)/(Vin-RdsonTop*H174+RdsonBot*H174)</f>
        <v>0.49634166666666668</v>
      </c>
      <c r="J174" s="464">
        <f t="shared" si="121"/>
        <v>8.073824444444444</v>
      </c>
      <c r="K174" s="464">
        <f t="shared" si="131"/>
        <v>20.53691222222222</v>
      </c>
      <c r="L174" s="464">
        <f t="shared" ref="L174:L209" si="137">H174-J174/2</f>
        <v>12.463087777777778</v>
      </c>
      <c r="M174" s="77">
        <f t="shared" si="122"/>
        <v>0</v>
      </c>
      <c r="N174" s="463">
        <f t="shared" ref="N174:N209" si="138">SQRT(H174^2+(J174^2)/12)</f>
        <v>16.663799689645888</v>
      </c>
      <c r="O174" s="463">
        <f t="shared" ref="O174:O209" si="139">(N174^2*Rdcr*(1+Ltc*Ta-Ltc*25))/(1-N174^2*Rdcr*Ltc*ThetaCa)</f>
        <v>1.561895325050666</v>
      </c>
      <c r="P174">
        <f t="shared" si="123"/>
        <v>0.5</v>
      </c>
      <c r="Q174" s="463">
        <f t="shared" si="132"/>
        <v>2.0618953250506662</v>
      </c>
      <c r="R174" s="9">
        <f t="shared" ref="R174:R209" si="140">J174/(2*SQRT(3))</f>
        <v>2.3307123581948903</v>
      </c>
      <c r="S174" s="9">
        <f t="shared" ref="S174:S209" si="141">RCoutEsr*R174^2</f>
        <v>1.629666028992716E-2</v>
      </c>
      <c r="T174" s="9">
        <f t="shared" ref="T174:T209" si="142">S174</f>
        <v>1.629666028992716E-2</v>
      </c>
      <c r="U174" s="463">
        <f t="shared" ref="U174:U209" si="143">SQRT(I174)*SQRT(H174^2+(J174^2)/12)</f>
        <v>11.739900166801576</v>
      </c>
      <c r="V174" s="465">
        <f t="shared" ref="V174:V209" si="144">RCinEsr*U174^2</f>
        <v>1.3782525592646766</v>
      </c>
      <c r="W174" s="463">
        <f t="shared" ref="W174:W209" si="145">V174</f>
        <v>1.3782525592646766</v>
      </c>
      <c r="X174" s="463">
        <f t="shared" ref="X174:X209" si="146">SQRT(I174)*SQRT(H174^2+(J174^2)/12)</f>
        <v>11.739900166801576</v>
      </c>
      <c r="Y174" s="463">
        <f t="shared" ref="Y174:Y209" si="147">RdsonTop*X174^2</f>
        <v>0.24808546066764178</v>
      </c>
      <c r="Z174" s="463">
        <f t="shared" si="124"/>
        <v>1.2325124771034572</v>
      </c>
      <c r="AA174" s="463">
        <f t="shared" si="125"/>
        <v>2.9999999999999992E-2</v>
      </c>
      <c r="AB174" s="463">
        <f t="shared" si="126"/>
        <v>0</v>
      </c>
      <c r="AC174" s="463">
        <f t="shared" ref="AC174:AC209" si="148">(AB174+AA174+Z174+Y174*(1+RdsonTopTc*Ta-RdsonTopTc*25))/(1-Y174*RdsonTopTc*ThetaJaTop)</f>
        <v>1.5894624422089643</v>
      </c>
      <c r="AD174" s="463">
        <f t="shared" ref="AD174:AD209" si="149">SQRT(1-I174)*SQRT(H174^2+(J174^2)/12)</f>
        <v>11.826113654543269</v>
      </c>
      <c r="AE174" s="463">
        <f t="shared" ref="AE174:AE209" si="150">RdsonBot*AD174^2</f>
        <v>0.25174253550631459</v>
      </c>
      <c r="AF174" s="463">
        <f t="shared" si="127"/>
        <v>0.39600000000000002</v>
      </c>
      <c r="AG174" s="463">
        <f t="shared" ref="AG174:AG209" si="151">(AF174+AE174*(1+RdsonBotTc*Ta-RdsonBotTc*25))/(1-AE174*RdsonBotTc*ThetaJaBot)</f>
        <v>0.68208447030302788</v>
      </c>
      <c r="AH174" s="463">
        <f t="shared" ref="AH174:AH209" si="152">IF(RDSON_sense=1, 0, AD174^2*Rshunt)</f>
        <v>0</v>
      </c>
      <c r="AI174">
        <f t="shared" si="128"/>
        <v>0</v>
      </c>
      <c r="AJ174" s="464">
        <f t="shared" si="129"/>
        <v>0.4314654</v>
      </c>
      <c r="AK174">
        <f t="shared" si="133"/>
        <v>7.2000000000000008E-2</v>
      </c>
      <c r="AL174" s="464">
        <f t="shared" si="134"/>
        <v>0.98399999999999999</v>
      </c>
      <c r="AM174" s="464">
        <f t="shared" si="135"/>
        <v>0.82265384615384629</v>
      </c>
      <c r="AN174" s="464">
        <f t="shared" ref="AN174:AN209" si="153">SUM(AK174:AL174)</f>
        <v>1.056</v>
      </c>
      <c r="AO174" s="464">
        <f t="shared" ref="AO174:AO209" si="154">SUM(Q174,T174,W174,AC174,AJ174,AI174,AG174,AN174, AH174)</f>
        <v>7.215456857117263</v>
      </c>
      <c r="AP174" s="100">
        <f t="shared" si="130"/>
        <v>194.70000000000002</v>
      </c>
      <c r="AQ174" s="10">
        <f t="shared" ref="AQ174:AQ209" si="155">AP174/(AP174+AO174)</f>
        <v>0.96426496034811648</v>
      </c>
      <c r="AR174" s="77">
        <f t="shared" ref="AR174:AR209" si="156">ThetaJaTop*AC174</f>
        <v>79.473122110448216</v>
      </c>
      <c r="AS174" s="77">
        <f t="shared" ref="AS174:AS209" si="157">AG174*ThetaJaBot</f>
        <v>34.104223515151396</v>
      </c>
      <c r="AT174" s="10"/>
      <c r="AU174">
        <f t="shared" ref="AU174:AU209" si="158">AQ174*100</f>
        <v>96.426496034811649</v>
      </c>
    </row>
    <row r="175" spans="7:47" x14ac:dyDescent="0.2">
      <c r="G175">
        <v>166</v>
      </c>
      <c r="H175">
        <f t="shared" si="120"/>
        <v>16.599999999999998</v>
      </c>
      <c r="I175" s="463">
        <f t="shared" si="136"/>
        <v>0.49637000000000003</v>
      </c>
      <c r="J175" s="464">
        <f t="shared" si="121"/>
        <v>8.074285333333334</v>
      </c>
      <c r="K175" s="464">
        <f t="shared" si="131"/>
        <v>20.637142666666666</v>
      </c>
      <c r="L175" s="464">
        <f t="shared" si="137"/>
        <v>12.56285733333333</v>
      </c>
      <c r="M175" s="77">
        <f t="shared" si="122"/>
        <v>0</v>
      </c>
      <c r="N175" s="463">
        <f t="shared" si="138"/>
        <v>16.762841057042611</v>
      </c>
      <c r="O175" s="463">
        <f t="shared" si="139"/>
        <v>1.5828747953551419</v>
      </c>
      <c r="P175">
        <f t="shared" si="123"/>
        <v>0.5</v>
      </c>
      <c r="Q175" s="463">
        <f t="shared" si="132"/>
        <v>2.0828747953551421</v>
      </c>
      <c r="R175" s="9">
        <f t="shared" si="140"/>
        <v>2.3308454053569241</v>
      </c>
      <c r="S175" s="9">
        <f t="shared" si="141"/>
        <v>1.629852091102045E-2</v>
      </c>
      <c r="T175" s="9">
        <f t="shared" si="142"/>
        <v>1.629852091102045E-2</v>
      </c>
      <c r="U175" s="463">
        <f t="shared" si="143"/>
        <v>11.81001338447736</v>
      </c>
      <c r="V175" s="465">
        <f t="shared" si="144"/>
        <v>1.3947641614153437</v>
      </c>
      <c r="W175" s="463">
        <f t="shared" si="145"/>
        <v>1.3947641614153437</v>
      </c>
      <c r="X175" s="463">
        <f t="shared" si="146"/>
        <v>11.81001338447736</v>
      </c>
      <c r="Y175" s="463">
        <f t="shared" si="147"/>
        <v>0.25105754905476185</v>
      </c>
      <c r="Z175" s="463">
        <f t="shared" si="124"/>
        <v>1.2394268042435941</v>
      </c>
      <c r="AA175" s="463">
        <f t="shared" si="125"/>
        <v>2.9999999999999992E-2</v>
      </c>
      <c r="AB175" s="463">
        <f t="shared" si="126"/>
        <v>0</v>
      </c>
      <c r="AC175" s="463">
        <f t="shared" si="148"/>
        <v>1.6008662654942429</v>
      </c>
      <c r="AD175" s="463">
        <f t="shared" si="149"/>
        <v>11.896067592365936</v>
      </c>
      <c r="AE175" s="463">
        <f t="shared" si="150"/>
        <v>0.25472956349185033</v>
      </c>
      <c r="AF175" s="463">
        <f t="shared" si="127"/>
        <v>0.39839999999999998</v>
      </c>
      <c r="AG175" s="463">
        <f t="shared" si="151"/>
        <v>0.68819003282398972</v>
      </c>
      <c r="AH175" s="463">
        <f t="shared" si="152"/>
        <v>0</v>
      </c>
      <c r="AI175">
        <f t="shared" si="128"/>
        <v>0</v>
      </c>
      <c r="AJ175" s="464">
        <f t="shared" si="129"/>
        <v>0.43146215999999998</v>
      </c>
      <c r="AK175">
        <f t="shared" si="133"/>
        <v>7.2000000000000008E-2</v>
      </c>
      <c r="AL175" s="464">
        <f t="shared" si="134"/>
        <v>0.98399999999999999</v>
      </c>
      <c r="AM175" s="464">
        <f t="shared" si="135"/>
        <v>0.82265384615384629</v>
      </c>
      <c r="AN175" s="464">
        <f t="shared" si="153"/>
        <v>1.056</v>
      </c>
      <c r="AO175" s="464">
        <f t="shared" si="154"/>
        <v>7.2704559359997383</v>
      </c>
      <c r="AP175" s="100">
        <f t="shared" si="130"/>
        <v>195.88</v>
      </c>
      <c r="AQ175" s="10">
        <f t="shared" si="155"/>
        <v>0.96421147123445194</v>
      </c>
      <c r="AR175" s="77">
        <f t="shared" si="156"/>
        <v>80.043313274712148</v>
      </c>
      <c r="AS175" s="77">
        <f t="shared" si="157"/>
        <v>34.409501641199483</v>
      </c>
      <c r="AT175" s="10"/>
      <c r="AU175">
        <f t="shared" si="158"/>
        <v>96.421147123445195</v>
      </c>
    </row>
    <row r="176" spans="7:47" x14ac:dyDescent="0.2">
      <c r="G176">
        <v>167</v>
      </c>
      <c r="H176">
        <f t="shared" si="120"/>
        <v>16.7</v>
      </c>
      <c r="I176" s="463">
        <f t="shared" si="136"/>
        <v>0.49639833333333344</v>
      </c>
      <c r="J176" s="464">
        <f t="shared" si="121"/>
        <v>8.0747462222222239</v>
      </c>
      <c r="K176" s="464">
        <f t="shared" si="131"/>
        <v>20.737373111111111</v>
      </c>
      <c r="L176" s="464">
        <f t="shared" si="137"/>
        <v>12.662626888888887</v>
      </c>
      <c r="M176" s="77">
        <f t="shared" si="122"/>
        <v>0</v>
      </c>
      <c r="N176" s="463">
        <f t="shared" si="138"/>
        <v>16.861893741395349</v>
      </c>
      <c r="O176" s="463">
        <f t="shared" si="139"/>
        <v>1.6040442697932464</v>
      </c>
      <c r="P176">
        <f t="shared" si="123"/>
        <v>0.5</v>
      </c>
      <c r="Q176" s="463">
        <f t="shared" si="132"/>
        <v>2.1040442697932464</v>
      </c>
      <c r="R176" s="9">
        <f t="shared" si="140"/>
        <v>2.3309784525189574</v>
      </c>
      <c r="S176" s="9">
        <f t="shared" si="141"/>
        <v>1.6300381638323019E-2</v>
      </c>
      <c r="T176" s="9">
        <f t="shared" si="142"/>
        <v>1.6300381638323019E-2</v>
      </c>
      <c r="U176" s="463">
        <f t="shared" si="143"/>
        <v>11.880138548967079</v>
      </c>
      <c r="V176" s="465">
        <f t="shared" si="144"/>
        <v>1.411376919426536</v>
      </c>
      <c r="W176" s="463">
        <f t="shared" si="145"/>
        <v>1.411376919426536</v>
      </c>
      <c r="X176" s="463">
        <f t="shared" si="146"/>
        <v>11.880138548967079</v>
      </c>
      <c r="Y176" s="463">
        <f t="shared" si="147"/>
        <v>0.25404784549677645</v>
      </c>
      <c r="Z176" s="463">
        <f t="shared" si="124"/>
        <v>1.2463411313837311</v>
      </c>
      <c r="AA176" s="463">
        <f t="shared" si="125"/>
        <v>2.9999999999999992E-2</v>
      </c>
      <c r="AB176" s="463">
        <f t="shared" si="126"/>
        <v>0</v>
      </c>
      <c r="AC176" s="463">
        <f t="shared" si="148"/>
        <v>1.6123097400259181</v>
      </c>
      <c r="AD176" s="463">
        <f t="shared" si="149"/>
        <v>11.96602559764327</v>
      </c>
      <c r="AE176" s="463">
        <f t="shared" si="150"/>
        <v>0.25773438348621719</v>
      </c>
      <c r="AF176" s="463">
        <f t="shared" si="127"/>
        <v>0.40079999999999999</v>
      </c>
      <c r="AG176" s="463">
        <f t="shared" si="151"/>
        <v>0.6943246506406473</v>
      </c>
      <c r="AH176" s="463">
        <f t="shared" si="152"/>
        <v>0</v>
      </c>
      <c r="AI176">
        <f t="shared" si="128"/>
        <v>0</v>
      </c>
      <c r="AJ176" s="464">
        <f t="shared" si="129"/>
        <v>0.43145891999999997</v>
      </c>
      <c r="AK176">
        <f t="shared" si="133"/>
        <v>7.2000000000000008E-2</v>
      </c>
      <c r="AL176" s="464">
        <f t="shared" si="134"/>
        <v>0.98399999999999999</v>
      </c>
      <c r="AM176" s="464">
        <f t="shared" si="135"/>
        <v>0.82265384615384629</v>
      </c>
      <c r="AN176" s="464">
        <f t="shared" si="153"/>
        <v>1.056</v>
      </c>
      <c r="AO176" s="464">
        <f t="shared" si="154"/>
        <v>7.3258148815246704</v>
      </c>
      <c r="AP176" s="100">
        <f t="shared" si="130"/>
        <v>197.06</v>
      </c>
      <c r="AQ176" s="10">
        <f t="shared" si="155"/>
        <v>0.96415693092120314</v>
      </c>
      <c r="AR176" s="77">
        <f t="shared" si="156"/>
        <v>80.615487001295904</v>
      </c>
      <c r="AS176" s="77">
        <f t="shared" si="157"/>
        <v>34.716232532032365</v>
      </c>
      <c r="AT176" s="10"/>
      <c r="AU176">
        <f t="shared" si="158"/>
        <v>96.415693092120307</v>
      </c>
    </row>
    <row r="177" spans="7:47" x14ac:dyDescent="0.2">
      <c r="G177">
        <v>168</v>
      </c>
      <c r="H177">
        <f t="shared" si="120"/>
        <v>16.8</v>
      </c>
      <c r="I177" s="463">
        <f t="shared" si="136"/>
        <v>0.49642666666666663</v>
      </c>
      <c r="J177" s="464">
        <f t="shared" si="121"/>
        <v>8.0752071111111103</v>
      </c>
      <c r="K177" s="464">
        <f t="shared" si="131"/>
        <v>20.837603555555557</v>
      </c>
      <c r="L177" s="464">
        <f t="shared" si="137"/>
        <v>12.762396444444445</v>
      </c>
      <c r="M177" s="77">
        <f t="shared" si="122"/>
        <v>0</v>
      </c>
      <c r="N177" s="463">
        <f t="shared" si="138"/>
        <v>16.960957544429647</v>
      </c>
      <c r="O177" s="463">
        <f t="shared" si="139"/>
        <v>1.6254051806428942</v>
      </c>
      <c r="P177">
        <f t="shared" si="123"/>
        <v>0.5</v>
      </c>
      <c r="Q177" s="463">
        <f t="shared" si="132"/>
        <v>2.1254051806428942</v>
      </c>
      <c r="R177" s="9">
        <f t="shared" si="140"/>
        <v>2.3311114996809899</v>
      </c>
      <c r="S177" s="9">
        <f t="shared" si="141"/>
        <v>1.6302242471834861E-2</v>
      </c>
      <c r="T177" s="9">
        <f t="shared" si="142"/>
        <v>1.6302242471834861E-2</v>
      </c>
      <c r="U177" s="463">
        <f t="shared" si="143"/>
        <v>11.950275521084366</v>
      </c>
      <c r="V177" s="465">
        <f t="shared" si="144"/>
        <v>1.4280908502982823</v>
      </c>
      <c r="W177" s="463">
        <f t="shared" si="145"/>
        <v>1.4280908502982823</v>
      </c>
      <c r="X177" s="463">
        <f t="shared" si="146"/>
        <v>11.950275521084366</v>
      </c>
      <c r="Y177" s="463">
        <f t="shared" si="147"/>
        <v>0.25705635305369079</v>
      </c>
      <c r="Z177" s="463">
        <f t="shared" si="124"/>
        <v>1.2532554585238682</v>
      </c>
      <c r="AA177" s="463">
        <f t="shared" si="125"/>
        <v>2.9999999999999992E-2</v>
      </c>
      <c r="AB177" s="463">
        <f t="shared" si="126"/>
        <v>0</v>
      </c>
      <c r="AC177" s="463">
        <f t="shared" si="148"/>
        <v>1.6237930768682771</v>
      </c>
      <c r="AD177" s="463">
        <f t="shared" si="149"/>
        <v>12.035987528828565</v>
      </c>
      <c r="AE177" s="463">
        <f t="shared" si="150"/>
        <v>0.26075699242941019</v>
      </c>
      <c r="AF177" s="463">
        <f t="shared" si="127"/>
        <v>0.4032</v>
      </c>
      <c r="AG177" s="463">
        <f t="shared" si="151"/>
        <v>0.70048844442961467</v>
      </c>
      <c r="AH177" s="463">
        <f t="shared" si="152"/>
        <v>0</v>
      </c>
      <c r="AI177">
        <f t="shared" si="128"/>
        <v>0</v>
      </c>
      <c r="AJ177" s="464">
        <f t="shared" si="129"/>
        <v>0.43145568000000001</v>
      </c>
      <c r="AK177">
        <f t="shared" si="133"/>
        <v>7.2000000000000008E-2</v>
      </c>
      <c r="AL177" s="464">
        <f t="shared" si="134"/>
        <v>0.98399999999999999</v>
      </c>
      <c r="AM177" s="464">
        <f t="shared" si="135"/>
        <v>0.82265384615384629</v>
      </c>
      <c r="AN177" s="464">
        <f t="shared" si="153"/>
        <v>1.056</v>
      </c>
      <c r="AO177" s="464">
        <f t="shared" si="154"/>
        <v>7.381535474710903</v>
      </c>
      <c r="AP177" s="100">
        <f t="shared" si="130"/>
        <v>198.24</v>
      </c>
      <c r="AQ177" s="10">
        <f t="shared" si="155"/>
        <v>0.96410135029062283</v>
      </c>
      <c r="AR177" s="77">
        <f t="shared" si="156"/>
        <v>81.189653843413851</v>
      </c>
      <c r="AS177" s="77">
        <f t="shared" si="157"/>
        <v>35.024422221480734</v>
      </c>
      <c r="AT177" s="10"/>
      <c r="AU177">
        <f t="shared" si="158"/>
        <v>96.410135029062289</v>
      </c>
    </row>
    <row r="178" spans="7:47" x14ac:dyDescent="0.2">
      <c r="G178">
        <v>169</v>
      </c>
      <c r="H178">
        <f t="shared" si="120"/>
        <v>16.899999999999999</v>
      </c>
      <c r="I178" s="463">
        <f t="shared" si="136"/>
        <v>0.49645500000000004</v>
      </c>
      <c r="J178" s="464">
        <f t="shared" si="121"/>
        <v>8.0756680000000003</v>
      </c>
      <c r="K178" s="464">
        <f t="shared" si="131"/>
        <v>20.937833999999999</v>
      </c>
      <c r="L178" s="464">
        <f t="shared" si="137"/>
        <v>12.862165999999998</v>
      </c>
      <c r="M178" s="77">
        <f t="shared" si="122"/>
        <v>0</v>
      </c>
      <c r="N178" s="463">
        <f t="shared" si="138"/>
        <v>17.060032272454389</v>
      </c>
      <c r="O178" s="463">
        <f t="shared" si="139"/>
        <v>1.6469589792458514</v>
      </c>
      <c r="P178">
        <f t="shared" si="123"/>
        <v>0.5</v>
      </c>
      <c r="Q178" s="463">
        <f t="shared" si="132"/>
        <v>2.1469589792458512</v>
      </c>
      <c r="R178" s="9">
        <f t="shared" si="140"/>
        <v>2.3312445468430236</v>
      </c>
      <c r="S178" s="9">
        <f t="shared" si="141"/>
        <v>1.6304103411556005E-2</v>
      </c>
      <c r="T178" s="9">
        <f t="shared" si="142"/>
        <v>1.6304103411556005E-2</v>
      </c>
      <c r="U178" s="463">
        <f t="shared" si="143"/>
        <v>12.020424164856301</v>
      </c>
      <c r="V178" s="465">
        <f t="shared" si="144"/>
        <v>1.4449059710306131</v>
      </c>
      <c r="W178" s="463">
        <f t="shared" si="145"/>
        <v>1.4449059710306131</v>
      </c>
      <c r="X178" s="463">
        <f t="shared" si="146"/>
        <v>12.020424164856301</v>
      </c>
      <c r="Y178" s="463">
        <f t="shared" si="147"/>
        <v>0.26008307478551035</v>
      </c>
      <c r="Z178" s="463">
        <f t="shared" si="124"/>
        <v>1.2601697856640051</v>
      </c>
      <c r="AA178" s="463">
        <f t="shared" si="125"/>
        <v>2.9999999999999992E-2</v>
      </c>
      <c r="AB178" s="463">
        <f t="shared" si="126"/>
        <v>0</v>
      </c>
      <c r="AC178" s="463">
        <f t="shared" si="148"/>
        <v>1.6353164885683769</v>
      </c>
      <c r="AD178" s="463">
        <f t="shared" si="149"/>
        <v>12.105953247643241</v>
      </c>
      <c r="AE178" s="463">
        <f t="shared" si="150"/>
        <v>0.26379738726142304</v>
      </c>
      <c r="AF178" s="463">
        <f t="shared" si="127"/>
        <v>0.40559999999999996</v>
      </c>
      <c r="AG178" s="463">
        <f t="shared" si="151"/>
        <v>0.70668153581626714</v>
      </c>
      <c r="AH178" s="463">
        <f t="shared" si="152"/>
        <v>0</v>
      </c>
      <c r="AI178">
        <f t="shared" si="128"/>
        <v>0</v>
      </c>
      <c r="AJ178" s="464">
        <f t="shared" si="129"/>
        <v>0.43145243999999999</v>
      </c>
      <c r="AK178">
        <f t="shared" si="133"/>
        <v>7.2000000000000008E-2</v>
      </c>
      <c r="AL178" s="464">
        <f t="shared" si="134"/>
        <v>0.98399999999999999</v>
      </c>
      <c r="AM178" s="464">
        <f t="shared" si="135"/>
        <v>0.82265384615384629</v>
      </c>
      <c r="AN178" s="464">
        <f t="shared" si="153"/>
        <v>1.056</v>
      </c>
      <c r="AO178" s="464">
        <f t="shared" si="154"/>
        <v>7.4376195180726654</v>
      </c>
      <c r="AP178" s="100">
        <f t="shared" si="130"/>
        <v>199.42</v>
      </c>
      <c r="AQ178" s="10">
        <f t="shared" si="155"/>
        <v>0.96404473987760042</v>
      </c>
      <c r="AR178" s="77">
        <f t="shared" si="156"/>
        <v>81.765824428418838</v>
      </c>
      <c r="AS178" s="77">
        <f t="shared" si="157"/>
        <v>35.334076790813356</v>
      </c>
      <c r="AT178" s="10"/>
      <c r="AU178">
        <f t="shared" si="158"/>
        <v>96.404473987760042</v>
      </c>
    </row>
    <row r="179" spans="7:47" x14ac:dyDescent="0.2">
      <c r="G179">
        <v>170</v>
      </c>
      <c r="H179">
        <f t="shared" si="120"/>
        <v>17</v>
      </c>
      <c r="I179" s="463">
        <f t="shared" si="136"/>
        <v>0.49648333333333339</v>
      </c>
      <c r="J179" s="464">
        <f t="shared" si="121"/>
        <v>8.0761288888888902</v>
      </c>
      <c r="K179" s="464">
        <f t="shared" si="131"/>
        <v>21.038064444444444</v>
      </c>
      <c r="L179" s="464">
        <f t="shared" si="137"/>
        <v>12.961935555555556</v>
      </c>
      <c r="M179" s="77">
        <f t="shared" si="122"/>
        <v>0</v>
      </c>
      <c r="N179" s="463">
        <f t="shared" si="138"/>
        <v>17.159117736230755</v>
      </c>
      <c r="O179" s="463">
        <f t="shared" si="139"/>
        <v>1.6687071362841528</v>
      </c>
      <c r="P179">
        <f t="shared" si="123"/>
        <v>0.5</v>
      </c>
      <c r="Q179" s="463">
        <f t="shared" si="132"/>
        <v>2.1687071362841528</v>
      </c>
      <c r="R179" s="9">
        <f t="shared" si="140"/>
        <v>2.331377594005057</v>
      </c>
      <c r="S179" s="9">
        <f t="shared" si="141"/>
        <v>1.6305964457486426E-2</v>
      </c>
      <c r="T179" s="9">
        <f t="shared" si="142"/>
        <v>1.6305964457486426E-2</v>
      </c>
      <c r="U179" s="463">
        <f t="shared" si="143"/>
        <v>12.090584347431516</v>
      </c>
      <c r="V179" s="465">
        <f t="shared" si="144"/>
        <v>1.4618222986235601</v>
      </c>
      <c r="W179" s="463">
        <f t="shared" si="145"/>
        <v>1.4618222986235601</v>
      </c>
      <c r="X179" s="463">
        <f t="shared" si="146"/>
        <v>12.090584347431516</v>
      </c>
      <c r="Y179" s="463">
        <f t="shared" si="147"/>
        <v>0.26312801375224076</v>
      </c>
      <c r="Z179" s="463">
        <f t="shared" si="124"/>
        <v>1.2670841128041423</v>
      </c>
      <c r="AA179" s="463">
        <f t="shared" si="125"/>
        <v>2.9999999999999992E-2</v>
      </c>
      <c r="AB179" s="463">
        <f t="shared" si="126"/>
        <v>0</v>
      </c>
      <c r="AC179" s="463">
        <f t="shared" si="148"/>
        <v>1.6468801891691833</v>
      </c>
      <c r="AD179" s="463">
        <f t="shared" si="149"/>
        <v>12.175922618983455</v>
      </c>
      <c r="AE179" s="463">
        <f t="shared" si="150"/>
        <v>0.26685556492225121</v>
      </c>
      <c r="AF179" s="463">
        <f t="shared" si="127"/>
        <v>0.40800000000000003</v>
      </c>
      <c r="AG179" s="463">
        <f t="shared" si="151"/>
        <v>0.71290404738215618</v>
      </c>
      <c r="AH179" s="463">
        <f t="shared" si="152"/>
        <v>0</v>
      </c>
      <c r="AI179">
        <f t="shared" si="128"/>
        <v>0</v>
      </c>
      <c r="AJ179" s="464">
        <f t="shared" si="129"/>
        <v>0.43144919999999998</v>
      </c>
      <c r="AK179">
        <f t="shared" si="133"/>
        <v>7.2000000000000008E-2</v>
      </c>
      <c r="AL179" s="464">
        <f t="shared" si="134"/>
        <v>0.98399999999999999</v>
      </c>
      <c r="AM179" s="464">
        <f t="shared" si="135"/>
        <v>0.82265384615384629</v>
      </c>
      <c r="AN179" s="464">
        <f t="shared" si="153"/>
        <v>1.056</v>
      </c>
      <c r="AO179" s="464">
        <f t="shared" si="154"/>
        <v>7.4940688359165391</v>
      </c>
      <c r="AP179" s="100">
        <f t="shared" si="130"/>
        <v>200.60000000000002</v>
      </c>
      <c r="AQ179" s="10">
        <f t="shared" si="155"/>
        <v>0.96398710987853442</v>
      </c>
      <c r="AR179" s="77">
        <f t="shared" si="156"/>
        <v>82.344009458459169</v>
      </c>
      <c r="AS179" s="77">
        <f t="shared" si="157"/>
        <v>35.645202369107807</v>
      </c>
      <c r="AT179" s="10"/>
      <c r="AU179">
        <f t="shared" si="158"/>
        <v>96.398710987853448</v>
      </c>
    </row>
    <row r="180" spans="7:47" x14ac:dyDescent="0.2">
      <c r="G180">
        <v>171</v>
      </c>
      <c r="H180">
        <f t="shared" si="120"/>
        <v>17.100000000000001</v>
      </c>
      <c r="I180" s="463">
        <f t="shared" si="136"/>
        <v>0.49651166666666668</v>
      </c>
      <c r="J180" s="464">
        <f t="shared" si="121"/>
        <v>8.0765897777777784</v>
      </c>
      <c r="K180" s="464">
        <f t="shared" si="131"/>
        <v>21.13829488888889</v>
      </c>
      <c r="L180" s="464">
        <f t="shared" si="137"/>
        <v>13.061705111111113</v>
      </c>
      <c r="M180" s="77">
        <f t="shared" si="122"/>
        <v>0</v>
      </c>
      <c r="N180" s="463">
        <f t="shared" si="138"/>
        <v>17.258213750845577</v>
      </c>
      <c r="O180" s="463">
        <f t="shared" si="139"/>
        <v>1.6906511420616726</v>
      </c>
      <c r="P180">
        <f t="shared" si="123"/>
        <v>0.5</v>
      </c>
      <c r="Q180" s="463">
        <f t="shared" si="132"/>
        <v>2.1906511420616726</v>
      </c>
      <c r="R180" s="9">
        <f t="shared" si="140"/>
        <v>2.3315106411670903</v>
      </c>
      <c r="S180" s="9">
        <f t="shared" si="141"/>
        <v>1.6307825609626132E-2</v>
      </c>
      <c r="T180" s="9">
        <f t="shared" si="142"/>
        <v>1.6307825609626132E-2</v>
      </c>
      <c r="U180" s="463">
        <f t="shared" si="143"/>
        <v>12.160755938991414</v>
      </c>
      <c r="V180" s="465">
        <f t="shared" si="144"/>
        <v>1.4788398500771496</v>
      </c>
      <c r="W180" s="463">
        <f t="shared" si="145"/>
        <v>1.4788398500771496</v>
      </c>
      <c r="X180" s="463">
        <f t="shared" si="146"/>
        <v>12.160755938991414</v>
      </c>
      <c r="Y180" s="463">
        <f t="shared" si="147"/>
        <v>0.26619117301388689</v>
      </c>
      <c r="Z180" s="463">
        <f t="shared" si="124"/>
        <v>1.2739984399442794</v>
      </c>
      <c r="AA180" s="463">
        <f t="shared" si="125"/>
        <v>2.9999999999999992E-2</v>
      </c>
      <c r="AB180" s="463">
        <f t="shared" si="126"/>
        <v>0</v>
      </c>
      <c r="AC180" s="463">
        <f t="shared" si="148"/>
        <v>1.6584843942228473</v>
      </c>
      <c r="AD180" s="463">
        <f t="shared" si="149"/>
        <v>12.245895510829758</v>
      </c>
      <c r="AE180" s="463">
        <f t="shared" si="150"/>
        <v>0.26993152235188878</v>
      </c>
      <c r="AF180" s="463">
        <f t="shared" si="127"/>
        <v>0.41040000000000004</v>
      </c>
      <c r="AG180" s="463">
        <f t="shared" si="151"/>
        <v>0.71915610267249652</v>
      </c>
      <c r="AH180" s="463">
        <f t="shared" si="152"/>
        <v>0</v>
      </c>
      <c r="AI180">
        <f t="shared" si="128"/>
        <v>0</v>
      </c>
      <c r="AJ180" s="464">
        <f t="shared" si="129"/>
        <v>0.43144595999999996</v>
      </c>
      <c r="AK180">
        <f t="shared" si="133"/>
        <v>7.2000000000000008E-2</v>
      </c>
      <c r="AL180" s="464">
        <f t="shared" si="134"/>
        <v>0.98399999999999999</v>
      </c>
      <c r="AM180" s="464">
        <f t="shared" si="135"/>
        <v>0.82265384615384629</v>
      </c>
      <c r="AN180" s="464">
        <f t="shared" si="153"/>
        <v>1.056</v>
      </c>
      <c r="AO180" s="464">
        <f t="shared" si="154"/>
        <v>7.5508852746437922</v>
      </c>
      <c r="AP180" s="100">
        <f t="shared" si="130"/>
        <v>201.78000000000003</v>
      </c>
      <c r="AQ180" s="10">
        <f t="shared" si="155"/>
        <v>0.96392847015987637</v>
      </c>
      <c r="AR180" s="77">
        <f t="shared" si="156"/>
        <v>82.924219711142371</v>
      </c>
      <c r="AS180" s="77">
        <f t="shared" si="157"/>
        <v>35.957805133624824</v>
      </c>
      <c r="AT180" s="10"/>
      <c r="AU180">
        <f t="shared" si="158"/>
        <v>96.392847015987641</v>
      </c>
    </row>
    <row r="181" spans="7:47" x14ac:dyDescent="0.2">
      <c r="G181">
        <v>172</v>
      </c>
      <c r="H181">
        <f t="shared" si="120"/>
        <v>17.2</v>
      </c>
      <c r="I181" s="463">
        <f t="shared" si="136"/>
        <v>0.49654000000000004</v>
      </c>
      <c r="J181" s="464">
        <f t="shared" si="121"/>
        <v>8.0770506666666666</v>
      </c>
      <c r="K181" s="464">
        <f t="shared" si="131"/>
        <v>21.238525333333332</v>
      </c>
      <c r="L181" s="464">
        <f t="shared" si="137"/>
        <v>13.161474666666667</v>
      </c>
      <c r="M181" s="77">
        <f t="shared" si="122"/>
        <v>0</v>
      </c>
      <c r="N181" s="463">
        <f t="shared" si="138"/>
        <v>17.357320135589049</v>
      </c>
      <c r="O181" s="463">
        <f t="shared" si="139"/>
        <v>1.712792506790987</v>
      </c>
      <c r="P181">
        <f t="shared" si="123"/>
        <v>0.5</v>
      </c>
      <c r="Q181" s="463">
        <f t="shared" si="132"/>
        <v>2.2127925067909873</v>
      </c>
      <c r="R181" s="9">
        <f t="shared" si="140"/>
        <v>2.3316436883291232</v>
      </c>
      <c r="S181" s="9">
        <f t="shared" si="141"/>
        <v>1.6309686867975112E-2</v>
      </c>
      <c r="T181" s="9">
        <f t="shared" si="142"/>
        <v>1.6309686867975112E-2</v>
      </c>
      <c r="U181" s="463">
        <f t="shared" si="143"/>
        <v>12.230938812664441</v>
      </c>
      <c r="V181" s="465">
        <f t="shared" si="144"/>
        <v>1.4959586423914144</v>
      </c>
      <c r="W181" s="463">
        <f t="shared" si="145"/>
        <v>1.4959586423914144</v>
      </c>
      <c r="X181" s="463">
        <f t="shared" si="146"/>
        <v>12.230938812664441</v>
      </c>
      <c r="Y181" s="463">
        <f t="shared" si="147"/>
        <v>0.2692725556304546</v>
      </c>
      <c r="Z181" s="463">
        <f t="shared" si="124"/>
        <v>1.2809127670844163</v>
      </c>
      <c r="AA181" s="463">
        <f t="shared" si="125"/>
        <v>2.9999999999999992E-2</v>
      </c>
      <c r="AB181" s="463">
        <f t="shared" si="126"/>
        <v>0</v>
      </c>
      <c r="AC181" s="463">
        <f t="shared" si="148"/>
        <v>1.6701293208041277</v>
      </c>
      <c r="AD181" s="463">
        <f t="shared" si="149"/>
        <v>12.315871794159909</v>
      </c>
      <c r="AE181" s="463">
        <f t="shared" si="150"/>
        <v>0.27302525649033049</v>
      </c>
      <c r="AF181" s="463">
        <f t="shared" si="127"/>
        <v>0.4128</v>
      </c>
      <c r="AG181" s="463">
        <f t="shared" si="151"/>
        <v>0.72543782620374342</v>
      </c>
      <c r="AH181" s="463">
        <f t="shared" si="152"/>
        <v>0</v>
      </c>
      <c r="AI181">
        <f t="shared" si="128"/>
        <v>0</v>
      </c>
      <c r="AJ181" s="464">
        <f t="shared" si="129"/>
        <v>0.43144271999999995</v>
      </c>
      <c r="AK181">
        <f t="shared" si="133"/>
        <v>7.2000000000000008E-2</v>
      </c>
      <c r="AL181" s="464">
        <f t="shared" si="134"/>
        <v>0.98399999999999999</v>
      </c>
      <c r="AM181" s="464">
        <f t="shared" si="135"/>
        <v>0.82265384615384629</v>
      </c>
      <c r="AN181" s="464">
        <f t="shared" si="153"/>
        <v>1.056</v>
      </c>
      <c r="AO181" s="464">
        <f t="shared" si="154"/>
        <v>7.6080707030582468</v>
      </c>
      <c r="AP181" s="100">
        <f t="shared" si="130"/>
        <v>202.96</v>
      </c>
      <c r="AQ181" s="10">
        <f t="shared" si="155"/>
        <v>0.9638688302663555</v>
      </c>
      <c r="AR181" s="77">
        <f t="shared" si="156"/>
        <v>83.506466040206391</v>
      </c>
      <c r="AS181" s="77">
        <f t="shared" si="157"/>
        <v>36.271891310187172</v>
      </c>
      <c r="AT181" s="10"/>
      <c r="AU181">
        <f t="shared" si="158"/>
        <v>96.386883026635545</v>
      </c>
    </row>
    <row r="182" spans="7:47" x14ac:dyDescent="0.2">
      <c r="G182">
        <v>173</v>
      </c>
      <c r="H182">
        <f t="shared" si="120"/>
        <v>17.3</v>
      </c>
      <c r="I182" s="463">
        <f t="shared" si="136"/>
        <v>0.49656833333333333</v>
      </c>
      <c r="J182" s="464">
        <f t="shared" si="121"/>
        <v>8.0775115555555548</v>
      </c>
      <c r="K182" s="464">
        <f t="shared" si="131"/>
        <v>21.338755777777777</v>
      </c>
      <c r="L182" s="464">
        <f t="shared" si="137"/>
        <v>13.261244222222224</v>
      </c>
      <c r="M182" s="77">
        <f t="shared" si="122"/>
        <v>0</v>
      </c>
      <c r="N182" s="463">
        <f t="shared" si="138"/>
        <v>17.456436713836471</v>
      </c>
      <c r="O182" s="463">
        <f t="shared" si="139"/>
        <v>1.7351327608856089</v>
      </c>
      <c r="P182">
        <f t="shared" si="123"/>
        <v>0.5</v>
      </c>
      <c r="Q182" s="463">
        <f t="shared" si="132"/>
        <v>2.2351327608856089</v>
      </c>
      <c r="R182" s="9">
        <f t="shared" si="140"/>
        <v>2.3317767354911565</v>
      </c>
      <c r="S182" s="9">
        <f t="shared" si="141"/>
        <v>1.6311548232533384E-2</v>
      </c>
      <c r="T182" s="9">
        <f t="shared" si="142"/>
        <v>1.6311548232533384E-2</v>
      </c>
      <c r="U182" s="463">
        <f t="shared" si="143"/>
        <v>12.301132844443169</v>
      </c>
      <c r="V182" s="465">
        <f t="shared" si="144"/>
        <v>1.5131786925663848</v>
      </c>
      <c r="W182" s="463">
        <f t="shared" si="145"/>
        <v>1.5131786925663848</v>
      </c>
      <c r="X182" s="463">
        <f t="shared" si="146"/>
        <v>12.301132844443169</v>
      </c>
      <c r="Y182" s="463">
        <f t="shared" si="147"/>
        <v>0.27237216466194925</v>
      </c>
      <c r="Z182" s="463">
        <f t="shared" si="124"/>
        <v>1.2878270942245535</v>
      </c>
      <c r="AA182" s="463">
        <f t="shared" si="125"/>
        <v>2.9999999999999992E-2</v>
      </c>
      <c r="AB182" s="463">
        <f t="shared" si="126"/>
        <v>0</v>
      </c>
      <c r="AC182" s="463">
        <f t="shared" si="148"/>
        <v>1.6818151875239509</v>
      </c>
      <c r="AD182" s="463">
        <f t="shared" si="149"/>
        <v>12.385851342864543</v>
      </c>
      <c r="AE182" s="463">
        <f t="shared" si="150"/>
        <v>0.27613676427757095</v>
      </c>
      <c r="AF182" s="463">
        <f t="shared" si="127"/>
        <v>0.41520000000000001</v>
      </c>
      <c r="AG182" s="463">
        <f t="shared" si="151"/>
        <v>0.73174934347124843</v>
      </c>
      <c r="AH182" s="463">
        <f t="shared" si="152"/>
        <v>0</v>
      </c>
      <c r="AI182">
        <f t="shared" si="128"/>
        <v>0</v>
      </c>
      <c r="AJ182" s="464">
        <f t="shared" si="129"/>
        <v>0.43143947999999993</v>
      </c>
      <c r="AK182">
        <f t="shared" si="133"/>
        <v>7.2000000000000008E-2</v>
      </c>
      <c r="AL182" s="464">
        <f t="shared" si="134"/>
        <v>0.98399999999999999</v>
      </c>
      <c r="AM182" s="464">
        <f t="shared" si="135"/>
        <v>0.82265384615384629</v>
      </c>
      <c r="AN182" s="464">
        <f t="shared" si="153"/>
        <v>1.056</v>
      </c>
      <c r="AO182" s="464">
        <f t="shared" si="154"/>
        <v>7.6656270126797272</v>
      </c>
      <c r="AP182" s="100">
        <f t="shared" si="130"/>
        <v>204.14000000000001</v>
      </c>
      <c r="AQ182" s="10">
        <f t="shared" si="155"/>
        <v>0.96380819942889984</v>
      </c>
      <c r="AR182" s="77">
        <f t="shared" si="156"/>
        <v>84.090759376197539</v>
      </c>
      <c r="AS182" s="77">
        <f t="shared" si="157"/>
        <v>36.587467173562423</v>
      </c>
      <c r="AT182" s="10"/>
      <c r="AU182">
        <f t="shared" si="158"/>
        <v>96.380819942889985</v>
      </c>
    </row>
    <row r="183" spans="7:47" x14ac:dyDescent="0.2">
      <c r="G183">
        <v>174</v>
      </c>
      <c r="H183">
        <f t="shared" si="120"/>
        <v>17.399999999999999</v>
      </c>
      <c r="I183" s="463">
        <f t="shared" si="136"/>
        <v>0.49659666666666663</v>
      </c>
      <c r="J183" s="464">
        <f t="shared" si="121"/>
        <v>8.077972444444443</v>
      </c>
      <c r="K183" s="464">
        <f t="shared" si="131"/>
        <v>21.438986222222219</v>
      </c>
      <c r="L183" s="464">
        <f t="shared" si="137"/>
        <v>13.361013777777778</v>
      </c>
      <c r="M183" s="77">
        <f t="shared" si="122"/>
        <v>0</v>
      </c>
      <c r="N183" s="463">
        <f t="shared" si="138"/>
        <v>17.555563312933984</v>
      </c>
      <c r="O183" s="463">
        <f t="shared" si="139"/>
        <v>1.7576734552577322</v>
      </c>
      <c r="P183">
        <f t="shared" si="123"/>
        <v>0.5</v>
      </c>
      <c r="Q183" s="463">
        <f t="shared" si="132"/>
        <v>2.2576734552577324</v>
      </c>
      <c r="R183" s="9">
        <f t="shared" si="140"/>
        <v>2.3319097826531894</v>
      </c>
      <c r="S183" s="9">
        <f t="shared" si="141"/>
        <v>1.6313409703300936E-2</v>
      </c>
      <c r="T183" s="9">
        <f t="shared" si="142"/>
        <v>1.6313409703300936E-2</v>
      </c>
      <c r="U183" s="463">
        <f t="shared" si="143"/>
        <v>12.371337913104183</v>
      </c>
      <c r="V183" s="465">
        <f t="shared" si="144"/>
        <v>1.5305000176020898</v>
      </c>
      <c r="W183" s="463">
        <f t="shared" si="145"/>
        <v>1.5305000176020898</v>
      </c>
      <c r="X183" s="463">
        <f t="shared" si="146"/>
        <v>12.371337913104183</v>
      </c>
      <c r="Y183" s="463">
        <f t="shared" si="147"/>
        <v>0.27549000316837613</v>
      </c>
      <c r="Z183" s="463">
        <f t="shared" si="124"/>
        <v>1.2947414213646904</v>
      </c>
      <c r="AA183" s="463">
        <f t="shared" si="125"/>
        <v>2.9999999999999992E-2</v>
      </c>
      <c r="AB183" s="463">
        <f t="shared" si="126"/>
        <v>0</v>
      </c>
      <c r="AC183" s="463">
        <f t="shared" si="148"/>
        <v>1.6935422145431189</v>
      </c>
      <c r="AD183" s="463">
        <f t="shared" si="149"/>
        <v>12.455834033665699</v>
      </c>
      <c r="AE183" s="463">
        <f t="shared" si="150"/>
        <v>0.27926604265360444</v>
      </c>
      <c r="AF183" s="463">
        <f t="shared" si="127"/>
        <v>0.41759999999999997</v>
      </c>
      <c r="AG183" s="463">
        <f t="shared" si="151"/>
        <v>0.7380907809569982</v>
      </c>
      <c r="AH183" s="463">
        <f t="shared" si="152"/>
        <v>0</v>
      </c>
      <c r="AI183">
        <f t="shared" si="128"/>
        <v>0</v>
      </c>
      <c r="AJ183" s="464">
        <f t="shared" si="129"/>
        <v>0.43143623999999997</v>
      </c>
      <c r="AK183">
        <f t="shared" si="133"/>
        <v>7.2000000000000008E-2</v>
      </c>
      <c r="AL183" s="464">
        <f t="shared" si="134"/>
        <v>0.98399999999999999</v>
      </c>
      <c r="AM183" s="464">
        <f t="shared" si="135"/>
        <v>0.82265384615384629</v>
      </c>
      <c r="AN183" s="464">
        <f t="shared" si="153"/>
        <v>1.056</v>
      </c>
      <c r="AO183" s="464">
        <f t="shared" si="154"/>
        <v>7.7235561180632404</v>
      </c>
      <c r="AP183" s="100">
        <f t="shared" si="130"/>
        <v>205.32</v>
      </c>
      <c r="AQ183" s="10">
        <f t="shared" si="155"/>
        <v>0.96374658657226386</v>
      </c>
      <c r="AR183" s="77">
        <f t="shared" si="156"/>
        <v>84.677110727155949</v>
      </c>
      <c r="AS183" s="77">
        <f t="shared" si="157"/>
        <v>36.904539047849909</v>
      </c>
      <c r="AT183" s="10"/>
      <c r="AU183">
        <f t="shared" si="158"/>
        <v>96.374658657226391</v>
      </c>
    </row>
    <row r="184" spans="7:47" x14ac:dyDescent="0.2">
      <c r="G184">
        <v>175</v>
      </c>
      <c r="H184">
        <f t="shared" si="120"/>
        <v>17.5</v>
      </c>
      <c r="I184" s="463">
        <f t="shared" si="136"/>
        <v>0.49662500000000004</v>
      </c>
      <c r="J184" s="464">
        <f t="shared" si="121"/>
        <v>8.0784333333333329</v>
      </c>
      <c r="K184" s="464">
        <f t="shared" si="131"/>
        <v>21.539216666666668</v>
      </c>
      <c r="L184" s="464">
        <f t="shared" si="137"/>
        <v>13.460783333333334</v>
      </c>
      <c r="M184" s="77">
        <f t="shared" si="122"/>
        <v>0</v>
      </c>
      <c r="N184" s="463">
        <f t="shared" si="138"/>
        <v>17.654699764088104</v>
      </c>
      <c r="O184" s="463">
        <f t="shared" si="139"/>
        <v>1.7804161616215946</v>
      </c>
      <c r="P184">
        <f t="shared" si="123"/>
        <v>0.5</v>
      </c>
      <c r="Q184" s="463">
        <f t="shared" si="132"/>
        <v>2.2804161616215946</v>
      </c>
      <c r="R184" s="9">
        <f t="shared" si="140"/>
        <v>2.3320428298152227</v>
      </c>
      <c r="S184" s="9">
        <f t="shared" si="141"/>
        <v>1.6315271280277776E-2</v>
      </c>
      <c r="T184" s="9">
        <f t="shared" si="142"/>
        <v>1.6315271280277776E-2</v>
      </c>
      <c r="U184" s="463">
        <f t="shared" si="143"/>
        <v>12.441553900130641</v>
      </c>
      <c r="V184" s="465">
        <f t="shared" si="144"/>
        <v>1.5479226344985597</v>
      </c>
      <c r="W184" s="463">
        <f t="shared" si="145"/>
        <v>1.5479226344985597</v>
      </c>
      <c r="X184" s="463">
        <f t="shared" si="146"/>
        <v>12.441553900130641</v>
      </c>
      <c r="Y184" s="463">
        <f t="shared" si="147"/>
        <v>0.27862607420974073</v>
      </c>
      <c r="Z184" s="463">
        <f t="shared" si="124"/>
        <v>1.3016557485048275</v>
      </c>
      <c r="AA184" s="463">
        <f t="shared" si="125"/>
        <v>2.9999999999999992E-2</v>
      </c>
      <c r="AB184" s="463">
        <f t="shared" si="126"/>
        <v>0</v>
      </c>
      <c r="AC184" s="463">
        <f t="shared" si="148"/>
        <v>1.7053106235861637</v>
      </c>
      <c r="AD184" s="463">
        <f t="shared" si="149"/>
        <v>12.525819746038042</v>
      </c>
      <c r="AE184" s="463">
        <f t="shared" si="150"/>
        <v>0.28241308855842573</v>
      </c>
      <c r="AF184" s="463">
        <f t="shared" si="127"/>
        <v>0.42</v>
      </c>
      <c r="AG184" s="463">
        <f t="shared" si="151"/>
        <v>0.7444622661374416</v>
      </c>
      <c r="AH184" s="463">
        <f t="shared" si="152"/>
        <v>0</v>
      </c>
      <c r="AI184">
        <f t="shared" si="128"/>
        <v>0</v>
      </c>
      <c r="AJ184" s="464">
        <f t="shared" si="129"/>
        <v>0.43143299999999996</v>
      </c>
      <c r="AK184">
        <f t="shared" si="133"/>
        <v>7.2000000000000008E-2</v>
      </c>
      <c r="AL184" s="464">
        <f t="shared" si="134"/>
        <v>0.98399999999999999</v>
      </c>
      <c r="AM184" s="464">
        <f t="shared" si="135"/>
        <v>0.82265384615384629</v>
      </c>
      <c r="AN184" s="464">
        <f t="shared" si="153"/>
        <v>1.056</v>
      </c>
      <c r="AO184" s="464">
        <f t="shared" si="154"/>
        <v>7.7818599571240377</v>
      </c>
      <c r="AP184" s="100">
        <f t="shared" si="130"/>
        <v>206.5</v>
      </c>
      <c r="AQ184" s="10">
        <f t="shared" si="155"/>
        <v>0.963684000322374</v>
      </c>
      <c r="AR184" s="77">
        <f t="shared" si="156"/>
        <v>85.265531179308184</v>
      </c>
      <c r="AS184" s="77">
        <f t="shared" si="157"/>
        <v>37.223113306872079</v>
      </c>
      <c r="AT184" s="10"/>
      <c r="AU184">
        <f t="shared" si="158"/>
        <v>96.368400032237403</v>
      </c>
    </row>
    <row r="185" spans="7:47" x14ac:dyDescent="0.2">
      <c r="G185">
        <v>176</v>
      </c>
      <c r="H185">
        <f t="shared" si="120"/>
        <v>17.600000000000001</v>
      </c>
      <c r="I185" s="463">
        <f t="shared" si="136"/>
        <v>0.49665333333333334</v>
      </c>
      <c r="J185" s="464">
        <f t="shared" si="121"/>
        <v>8.0788942222222229</v>
      </c>
      <c r="K185" s="464">
        <f t="shared" si="131"/>
        <v>21.639447111111114</v>
      </c>
      <c r="L185" s="464">
        <f t="shared" si="137"/>
        <v>13.560552888888889</v>
      </c>
      <c r="M185" s="77">
        <f t="shared" si="122"/>
        <v>0</v>
      </c>
      <c r="N185" s="463">
        <f t="shared" si="138"/>
        <v>17.753845902258888</v>
      </c>
      <c r="O185" s="463">
        <f t="shared" si="139"/>
        <v>1.8033624728025761</v>
      </c>
      <c r="P185">
        <f t="shared" si="123"/>
        <v>0.5</v>
      </c>
      <c r="Q185" s="463">
        <f t="shared" si="132"/>
        <v>2.3033624728025761</v>
      </c>
      <c r="R185" s="9">
        <f t="shared" si="140"/>
        <v>2.3321758769772565</v>
      </c>
      <c r="S185" s="9">
        <f t="shared" si="141"/>
        <v>1.6317132963463907E-2</v>
      </c>
      <c r="T185" s="9">
        <f t="shared" si="142"/>
        <v>1.6317132963463907E-2</v>
      </c>
      <c r="U185" s="463">
        <f t="shared" si="143"/>
        <v>12.511780689637369</v>
      </c>
      <c r="V185" s="465">
        <f t="shared" si="144"/>
        <v>1.5654465602558256</v>
      </c>
      <c r="W185" s="463">
        <f t="shared" si="145"/>
        <v>1.5654465602558256</v>
      </c>
      <c r="X185" s="463">
        <f t="shared" si="146"/>
        <v>12.511780689637369</v>
      </c>
      <c r="Y185" s="463">
        <f t="shared" si="147"/>
        <v>0.28178038084604862</v>
      </c>
      <c r="Z185" s="463">
        <f t="shared" si="124"/>
        <v>1.3085700756449647</v>
      </c>
      <c r="AA185" s="463">
        <f t="shared" si="125"/>
        <v>2.9999999999999992E-2</v>
      </c>
      <c r="AB185" s="463">
        <f t="shared" si="126"/>
        <v>0</v>
      </c>
      <c r="AC185" s="463">
        <f t="shared" si="148"/>
        <v>1.7171206379553468</v>
      </c>
      <c r="AD185" s="463">
        <f t="shared" si="149"/>
        <v>12.595808362132702</v>
      </c>
      <c r="AE185" s="463">
        <f t="shared" si="150"/>
        <v>0.28557789893202978</v>
      </c>
      <c r="AF185" s="463">
        <f t="shared" si="127"/>
        <v>0.42240000000000005</v>
      </c>
      <c r="AG185" s="463">
        <f t="shared" si="151"/>
        <v>0.75086392749139885</v>
      </c>
      <c r="AH185" s="463">
        <f t="shared" si="152"/>
        <v>0</v>
      </c>
      <c r="AI185">
        <f t="shared" si="128"/>
        <v>0</v>
      </c>
      <c r="AJ185" s="464">
        <f t="shared" si="129"/>
        <v>0.43142975999999994</v>
      </c>
      <c r="AK185">
        <f t="shared" si="133"/>
        <v>7.2000000000000008E-2</v>
      </c>
      <c r="AL185" s="464">
        <f t="shared" si="134"/>
        <v>0.98399999999999999</v>
      </c>
      <c r="AM185" s="464">
        <f t="shared" si="135"/>
        <v>0.82265384615384629</v>
      </c>
      <c r="AN185" s="464">
        <f t="shared" si="153"/>
        <v>1.056</v>
      </c>
      <c r="AO185" s="464">
        <f t="shared" si="154"/>
        <v>7.8405404914686114</v>
      </c>
      <c r="AP185" s="100">
        <f t="shared" si="130"/>
        <v>207.68000000000004</v>
      </c>
      <c r="AQ185" s="10">
        <f t="shared" si="155"/>
        <v>0.96362044901340171</v>
      </c>
      <c r="AR185" s="77">
        <f t="shared" si="156"/>
        <v>85.856031897767338</v>
      </c>
      <c r="AS185" s="77">
        <f t="shared" si="157"/>
        <v>37.543196374569945</v>
      </c>
      <c r="AT185" s="10"/>
      <c r="AU185">
        <f t="shared" si="158"/>
        <v>96.36204490134017</v>
      </c>
    </row>
    <row r="186" spans="7:47" x14ac:dyDescent="0.2">
      <c r="G186">
        <v>177</v>
      </c>
      <c r="H186">
        <f t="shared" si="120"/>
        <v>17.7</v>
      </c>
      <c r="I186" s="463">
        <f t="shared" si="136"/>
        <v>0.49668166666666669</v>
      </c>
      <c r="J186" s="464">
        <f t="shared" si="121"/>
        <v>8.079355111111111</v>
      </c>
      <c r="K186" s="464">
        <f t="shared" si="131"/>
        <v>21.739677555555556</v>
      </c>
      <c r="L186" s="464">
        <f t="shared" si="137"/>
        <v>13.660322444444443</v>
      </c>
      <c r="M186" s="77">
        <f t="shared" si="122"/>
        <v>0</v>
      </c>
      <c r="N186" s="463">
        <f t="shared" si="138"/>
        <v>17.853001566056609</v>
      </c>
      <c r="O186" s="463">
        <f t="shared" si="139"/>
        <v>1.8265140030521609</v>
      </c>
      <c r="P186">
        <f t="shared" si="123"/>
        <v>0.5</v>
      </c>
      <c r="Q186" s="463">
        <f t="shared" si="132"/>
        <v>2.3265140030521607</v>
      </c>
      <c r="R186" s="9">
        <f t="shared" si="140"/>
        <v>2.3323089241392894</v>
      </c>
      <c r="S186" s="9">
        <f t="shared" si="141"/>
        <v>1.6318994752859306E-2</v>
      </c>
      <c r="T186" s="9">
        <f t="shared" si="142"/>
        <v>1.6318994752859306E-2</v>
      </c>
      <c r="U186" s="463">
        <f t="shared" si="143"/>
        <v>12.58201816829842</v>
      </c>
      <c r="V186" s="465">
        <f t="shared" si="144"/>
        <v>1.5830718118739153</v>
      </c>
      <c r="W186" s="463">
        <f t="shared" si="145"/>
        <v>1.5830718118739153</v>
      </c>
      <c r="X186" s="463">
        <f t="shared" si="146"/>
        <v>12.58201816829842</v>
      </c>
      <c r="Y186" s="463">
        <f t="shared" si="147"/>
        <v>0.28495292613730477</v>
      </c>
      <c r="Z186" s="463">
        <f t="shared" si="124"/>
        <v>1.3154844027851016</v>
      </c>
      <c r="AA186" s="463">
        <f t="shared" si="125"/>
        <v>2.9999999999999992E-2</v>
      </c>
      <c r="AB186" s="463">
        <f t="shared" si="126"/>
        <v>0</v>
      </c>
      <c r="AC186" s="463">
        <f t="shared" si="148"/>
        <v>1.7289724825448112</v>
      </c>
      <c r="AD186" s="463">
        <f t="shared" si="149"/>
        <v>12.665799766703568</v>
      </c>
      <c r="AE186" s="463">
        <f t="shared" si="150"/>
        <v>0.28876047071441069</v>
      </c>
      <c r="AF186" s="463">
        <f t="shared" si="127"/>
        <v>0.42480000000000001</v>
      </c>
      <c r="AG186" s="463">
        <f t="shared" si="151"/>
        <v>0.75729589450805834</v>
      </c>
      <c r="AH186" s="463">
        <f t="shared" si="152"/>
        <v>0</v>
      </c>
      <c r="AI186">
        <f t="shared" si="128"/>
        <v>0</v>
      </c>
      <c r="AJ186" s="464">
        <f t="shared" si="129"/>
        <v>0.43142651999999992</v>
      </c>
      <c r="AK186">
        <f t="shared" si="133"/>
        <v>7.2000000000000008E-2</v>
      </c>
      <c r="AL186" s="464">
        <f t="shared" si="134"/>
        <v>0.98399999999999999</v>
      </c>
      <c r="AM186" s="464">
        <f t="shared" si="135"/>
        <v>0.82265384615384629</v>
      </c>
      <c r="AN186" s="464">
        <f t="shared" si="153"/>
        <v>1.056</v>
      </c>
      <c r="AO186" s="464">
        <f t="shared" si="154"/>
        <v>7.8995997067318049</v>
      </c>
      <c r="AP186" s="100">
        <f t="shared" si="130"/>
        <v>208.86</v>
      </c>
      <c r="AQ186" s="10">
        <f t="shared" si="155"/>
        <v>0.9635559406945774</v>
      </c>
      <c r="AR186" s="77">
        <f t="shared" si="156"/>
        <v>86.448624127240564</v>
      </c>
      <c r="AS186" s="77">
        <f t="shared" si="157"/>
        <v>37.864794725402916</v>
      </c>
      <c r="AT186" s="10"/>
      <c r="AU186">
        <f t="shared" si="158"/>
        <v>96.355594069457737</v>
      </c>
    </row>
    <row r="187" spans="7:47" x14ac:dyDescent="0.2">
      <c r="G187">
        <v>178</v>
      </c>
      <c r="H187">
        <f t="shared" si="120"/>
        <v>17.8</v>
      </c>
      <c r="I187" s="463">
        <f t="shared" si="136"/>
        <v>0.49671000000000004</v>
      </c>
      <c r="J187" s="464">
        <f t="shared" si="121"/>
        <v>8.0798159999999992</v>
      </c>
      <c r="K187" s="464">
        <f t="shared" si="131"/>
        <v>21.839908000000001</v>
      </c>
      <c r="L187" s="464">
        <f t="shared" si="137"/>
        <v>13.760092</v>
      </c>
      <c r="M187" s="77">
        <f t="shared" si="122"/>
        <v>0</v>
      </c>
      <c r="N187" s="463">
        <f t="shared" si="138"/>
        <v>17.95216659764186</v>
      </c>
      <c r="O187" s="463">
        <f t="shared" si="139"/>
        <v>1.849872388368897</v>
      </c>
      <c r="P187">
        <f t="shared" si="123"/>
        <v>0.5</v>
      </c>
      <c r="Q187" s="463">
        <f t="shared" si="132"/>
        <v>2.349872388368897</v>
      </c>
      <c r="R187" s="9">
        <f t="shared" si="140"/>
        <v>2.3324419713013227</v>
      </c>
      <c r="S187" s="9">
        <f t="shared" si="141"/>
        <v>1.6320856648463999E-2</v>
      </c>
      <c r="T187" s="9">
        <f t="shared" si="142"/>
        <v>1.6320856648463999E-2</v>
      </c>
      <c r="U187" s="463">
        <f t="shared" si="143"/>
        <v>12.652266225277046</v>
      </c>
      <c r="V187" s="465">
        <f t="shared" si="144"/>
        <v>1.6007984063528629</v>
      </c>
      <c r="W187" s="463">
        <f t="shared" si="145"/>
        <v>1.6007984063528629</v>
      </c>
      <c r="X187" s="463">
        <f t="shared" si="146"/>
        <v>12.652266225277046</v>
      </c>
      <c r="Y187" s="463">
        <f t="shared" si="147"/>
        <v>0.28814371314351528</v>
      </c>
      <c r="Z187" s="463">
        <f t="shared" si="124"/>
        <v>1.3223987299252387</v>
      </c>
      <c r="AA187" s="463">
        <f t="shared" si="125"/>
        <v>2.9999999999999992E-2</v>
      </c>
      <c r="AB187" s="463">
        <f t="shared" si="126"/>
        <v>0</v>
      </c>
      <c r="AC187" s="463">
        <f t="shared" si="148"/>
        <v>1.7408663838548886</v>
      </c>
      <c r="AD187" s="463">
        <f t="shared" si="149"/>
        <v>12.735793847036071</v>
      </c>
      <c r="AE187" s="463">
        <f t="shared" si="150"/>
        <v>0.29196080084556331</v>
      </c>
      <c r="AF187" s="463">
        <f t="shared" si="127"/>
        <v>0.42720000000000002</v>
      </c>
      <c r="AG187" s="463">
        <f t="shared" si="151"/>
        <v>0.7637582976950622</v>
      </c>
      <c r="AH187" s="463">
        <f t="shared" si="152"/>
        <v>0</v>
      </c>
      <c r="AI187">
        <f t="shared" si="128"/>
        <v>0</v>
      </c>
      <c r="AJ187" s="464">
        <f t="shared" si="129"/>
        <v>0.43142328000000002</v>
      </c>
      <c r="AK187">
        <f t="shared" si="133"/>
        <v>7.2000000000000008E-2</v>
      </c>
      <c r="AL187" s="464">
        <f t="shared" si="134"/>
        <v>0.98399999999999999</v>
      </c>
      <c r="AM187" s="464">
        <f t="shared" si="135"/>
        <v>0.82265384615384629</v>
      </c>
      <c r="AN187" s="464">
        <f t="shared" si="153"/>
        <v>1.056</v>
      </c>
      <c r="AO187" s="464">
        <f t="shared" si="154"/>
        <v>7.9590396129201748</v>
      </c>
      <c r="AP187" s="100">
        <f t="shared" si="130"/>
        <v>210.04000000000002</v>
      </c>
      <c r="AQ187" s="10">
        <f t="shared" si="155"/>
        <v>0.96349048313675012</v>
      </c>
      <c r="AR187" s="77">
        <f t="shared" si="156"/>
        <v>87.043319192744434</v>
      </c>
      <c r="AS187" s="77">
        <f t="shared" si="157"/>
        <v>38.187914884753113</v>
      </c>
      <c r="AT187" s="10"/>
      <c r="AU187">
        <f t="shared" si="158"/>
        <v>96.349048313675013</v>
      </c>
    </row>
    <row r="188" spans="7:47" x14ac:dyDescent="0.2">
      <c r="G188">
        <v>179</v>
      </c>
      <c r="H188">
        <f t="shared" si="120"/>
        <v>17.899999999999999</v>
      </c>
      <c r="I188" s="463">
        <f t="shared" si="136"/>
        <v>0.49673833333333334</v>
      </c>
      <c r="J188" s="464">
        <f t="shared" si="121"/>
        <v>8.0802768888888874</v>
      </c>
      <c r="K188" s="464">
        <f t="shared" si="131"/>
        <v>21.940138444444443</v>
      </c>
      <c r="L188" s="464">
        <f t="shared" si="137"/>
        <v>13.859861555555554</v>
      </c>
      <c r="M188" s="77">
        <f t="shared" si="122"/>
        <v>0</v>
      </c>
      <c r="N188" s="463">
        <f t="shared" si="138"/>
        <v>18.051340842628818</v>
      </c>
      <c r="O188" s="463">
        <f t="shared" si="139"/>
        <v>1.8734392868254586</v>
      </c>
      <c r="P188">
        <f t="shared" si="123"/>
        <v>0.5</v>
      </c>
      <c r="Q188" s="463">
        <f t="shared" si="132"/>
        <v>2.3734392868254588</v>
      </c>
      <c r="R188" s="9">
        <f t="shared" si="140"/>
        <v>2.3325750184633556</v>
      </c>
      <c r="S188" s="9">
        <f t="shared" si="141"/>
        <v>1.632271865027797E-2</v>
      </c>
      <c r="T188" s="9">
        <f t="shared" si="142"/>
        <v>1.632271865027797E-2</v>
      </c>
      <c r="U188" s="463">
        <f t="shared" si="143"/>
        <v>12.722524752157856</v>
      </c>
      <c r="V188" s="465">
        <f t="shared" si="144"/>
        <v>1.6186263606926932</v>
      </c>
      <c r="W188" s="463">
        <f t="shared" si="145"/>
        <v>1.6186263606926932</v>
      </c>
      <c r="X188" s="463">
        <f t="shared" si="146"/>
        <v>12.722524752157856</v>
      </c>
      <c r="Y188" s="463">
        <f t="shared" si="147"/>
        <v>0.29135274492468477</v>
      </c>
      <c r="Z188" s="463">
        <f t="shared" si="124"/>
        <v>1.3293130570653757</v>
      </c>
      <c r="AA188" s="463">
        <f t="shared" si="125"/>
        <v>2.9999999999999992E-2</v>
      </c>
      <c r="AB188" s="463">
        <f t="shared" si="126"/>
        <v>0</v>
      </c>
      <c r="AC188" s="463">
        <f t="shared" si="148"/>
        <v>1.7528025700065508</v>
      </c>
      <c r="AD188" s="463">
        <f t="shared" si="149"/>
        <v>12.805790492878211</v>
      </c>
      <c r="AE188" s="463">
        <f t="shared" si="150"/>
        <v>0.29517888626548194</v>
      </c>
      <c r="AF188" s="463">
        <f t="shared" si="127"/>
        <v>0.42959999999999998</v>
      </c>
      <c r="AG188" s="463">
        <f t="shared" si="151"/>
        <v>0.77025126858668014</v>
      </c>
      <c r="AH188" s="463">
        <f t="shared" si="152"/>
        <v>0</v>
      </c>
      <c r="AI188">
        <f t="shared" si="128"/>
        <v>0</v>
      </c>
      <c r="AJ188" s="464">
        <f t="shared" si="129"/>
        <v>0.43142004</v>
      </c>
      <c r="AK188">
        <f t="shared" si="133"/>
        <v>7.2000000000000008E-2</v>
      </c>
      <c r="AL188" s="464">
        <f t="shared" si="134"/>
        <v>0.98399999999999999</v>
      </c>
      <c r="AM188" s="464">
        <f t="shared" si="135"/>
        <v>0.82265384615384629</v>
      </c>
      <c r="AN188" s="464">
        <f t="shared" si="153"/>
        <v>1.056</v>
      </c>
      <c r="AO188" s="464">
        <f t="shared" si="154"/>
        <v>8.0188622447616602</v>
      </c>
      <c r="AP188" s="100">
        <f t="shared" si="130"/>
        <v>211.22</v>
      </c>
      <c r="AQ188" s="10">
        <f t="shared" si="155"/>
        <v>0.96342408383870703</v>
      </c>
      <c r="AR188" s="77">
        <f t="shared" si="156"/>
        <v>87.640128500327535</v>
      </c>
      <c r="AS188" s="77">
        <f t="shared" si="157"/>
        <v>38.512563429334008</v>
      </c>
      <c r="AT188" s="10"/>
      <c r="AU188">
        <f t="shared" si="158"/>
        <v>96.342408383870705</v>
      </c>
    </row>
    <row r="189" spans="7:47" x14ac:dyDescent="0.2">
      <c r="G189">
        <v>180</v>
      </c>
      <c r="H189">
        <f t="shared" si="120"/>
        <v>18</v>
      </c>
      <c r="I189" s="463">
        <f t="shared" si="136"/>
        <v>0.49676666666666675</v>
      </c>
      <c r="J189" s="464">
        <f t="shared" si="121"/>
        <v>8.0807377777777791</v>
      </c>
      <c r="K189" s="464">
        <f t="shared" si="131"/>
        <v>22.040368888888889</v>
      </c>
      <c r="L189" s="464">
        <f t="shared" si="137"/>
        <v>13.959631111111111</v>
      </c>
      <c r="M189" s="77">
        <f t="shared" si="122"/>
        <v>0</v>
      </c>
      <c r="N189" s="463">
        <f t="shared" si="138"/>
        <v>18.15052414999175</v>
      </c>
      <c r="O189" s="463">
        <f t="shared" si="139"/>
        <v>1.8972163789019794</v>
      </c>
      <c r="P189">
        <f t="shared" si="123"/>
        <v>0.5</v>
      </c>
      <c r="Q189" s="463">
        <f t="shared" si="132"/>
        <v>2.3972163789019794</v>
      </c>
      <c r="R189" s="9">
        <f t="shared" si="140"/>
        <v>2.3327080656253898</v>
      </c>
      <c r="S189" s="9">
        <f t="shared" si="141"/>
        <v>1.6324580758301243E-2</v>
      </c>
      <c r="T189" s="9">
        <f t="shared" si="142"/>
        <v>1.6324580758301243E-2</v>
      </c>
      <c r="U189" s="463">
        <f t="shared" si="143"/>
        <v>12.792793642881295</v>
      </c>
      <c r="V189" s="465">
        <f t="shared" si="144"/>
        <v>1.6365556918934405</v>
      </c>
      <c r="W189" s="463">
        <f t="shared" si="145"/>
        <v>1.6365556918934405</v>
      </c>
      <c r="X189" s="463">
        <f t="shared" si="146"/>
        <v>12.792793642881295</v>
      </c>
      <c r="Y189" s="463">
        <f t="shared" si="147"/>
        <v>0.29458002454081927</v>
      </c>
      <c r="Z189" s="463">
        <f t="shared" si="124"/>
        <v>1.3362273842055126</v>
      </c>
      <c r="AA189" s="463">
        <f t="shared" si="125"/>
        <v>2.9999999999999992E-2</v>
      </c>
      <c r="AB189" s="463">
        <f t="shared" si="126"/>
        <v>0</v>
      </c>
      <c r="AC189" s="463">
        <f t="shared" si="148"/>
        <v>1.7647812707560298</v>
      </c>
      <c r="AD189" s="463">
        <f t="shared" si="149"/>
        <v>12.875789596373872</v>
      </c>
      <c r="AE189" s="463">
        <f t="shared" si="150"/>
        <v>0.29841472391416135</v>
      </c>
      <c r="AF189" s="463">
        <f t="shared" si="127"/>
        <v>0.432</v>
      </c>
      <c r="AG189" s="463">
        <f t="shared" si="151"/>
        <v>0.77677493975207224</v>
      </c>
      <c r="AH189" s="463">
        <f t="shared" si="152"/>
        <v>0</v>
      </c>
      <c r="AI189">
        <f t="shared" si="128"/>
        <v>0</v>
      </c>
      <c r="AJ189" s="464">
        <f t="shared" si="129"/>
        <v>0.43141679999999999</v>
      </c>
      <c r="AK189">
        <f t="shared" si="133"/>
        <v>7.2000000000000008E-2</v>
      </c>
      <c r="AL189" s="464">
        <f t="shared" si="134"/>
        <v>0.98399999999999999</v>
      </c>
      <c r="AM189" s="464">
        <f t="shared" si="135"/>
        <v>0.82265384615384629</v>
      </c>
      <c r="AN189" s="464">
        <f t="shared" si="153"/>
        <v>1.056</v>
      </c>
      <c r="AO189" s="464">
        <f t="shared" si="154"/>
        <v>8.0790696620618228</v>
      </c>
      <c r="AP189" s="100">
        <f t="shared" si="130"/>
        <v>212.4</v>
      </c>
      <c r="AQ189" s="10">
        <f t="shared" si="155"/>
        <v>0.96335675003325727</v>
      </c>
      <c r="AR189" s="77">
        <f t="shared" si="156"/>
        <v>88.239063537801485</v>
      </c>
      <c r="AS189" s="77">
        <f t="shared" si="157"/>
        <v>38.838746987603614</v>
      </c>
      <c r="AT189" s="10"/>
      <c r="AU189">
        <f t="shared" si="158"/>
        <v>96.335675003325733</v>
      </c>
    </row>
    <row r="190" spans="7:47" x14ac:dyDescent="0.2">
      <c r="G190">
        <v>181</v>
      </c>
      <c r="H190">
        <f t="shared" si="120"/>
        <v>18.100000000000001</v>
      </c>
      <c r="I190" s="463">
        <f t="shared" si="136"/>
        <v>0.49679500000000004</v>
      </c>
      <c r="J190" s="464">
        <f t="shared" si="121"/>
        <v>8.0811986666666673</v>
      </c>
      <c r="K190" s="464">
        <f t="shared" si="131"/>
        <v>22.140599333333334</v>
      </c>
      <c r="L190" s="464">
        <f t="shared" si="137"/>
        <v>14.059400666666669</v>
      </c>
      <c r="M190" s="77">
        <f t="shared" si="122"/>
        <v>0</v>
      </c>
      <c r="N190" s="463">
        <f t="shared" si="138"/>
        <v>18.249716371974426</v>
      </c>
      <c r="O190" s="463">
        <f t="shared" si="139"/>
        <v>1.9212053678257606</v>
      </c>
      <c r="P190">
        <f t="shared" si="123"/>
        <v>0.5</v>
      </c>
      <c r="Q190" s="463">
        <f t="shared" si="132"/>
        <v>2.4212053678257606</v>
      </c>
      <c r="R190" s="9">
        <f t="shared" si="140"/>
        <v>2.3328411127874227</v>
      </c>
      <c r="S190" s="9">
        <f t="shared" si="141"/>
        <v>1.6326442972533783E-2</v>
      </c>
      <c r="T190" s="9">
        <f t="shared" si="142"/>
        <v>1.6326442972533783E-2</v>
      </c>
      <c r="U190" s="463">
        <f t="shared" si="143"/>
        <v>12.863072793680107</v>
      </c>
      <c r="V190" s="465">
        <f t="shared" si="144"/>
        <v>1.6545864169551336</v>
      </c>
      <c r="W190" s="463">
        <f t="shared" si="145"/>
        <v>1.6545864169551336</v>
      </c>
      <c r="X190" s="463">
        <f t="shared" si="146"/>
        <v>12.863072793680107</v>
      </c>
      <c r="Y190" s="463">
        <f t="shared" si="147"/>
        <v>0.29782555505192404</v>
      </c>
      <c r="Z190" s="463">
        <f t="shared" si="124"/>
        <v>1.3431417113456496</v>
      </c>
      <c r="AA190" s="463">
        <f t="shared" si="125"/>
        <v>2.9999999999999992E-2</v>
      </c>
      <c r="AB190" s="463">
        <f t="shared" si="126"/>
        <v>0</v>
      </c>
      <c r="AC190" s="463">
        <f t="shared" si="148"/>
        <v>1.7768027175095855</v>
      </c>
      <c r="AD190" s="463">
        <f t="shared" si="149"/>
        <v>12.945791051998251</v>
      </c>
      <c r="AE190" s="463">
        <f t="shared" si="150"/>
        <v>0.30166831073159633</v>
      </c>
      <c r="AF190" s="463">
        <f t="shared" si="127"/>
        <v>0.43440000000000006</v>
      </c>
      <c r="AG190" s="463">
        <f t="shared" si="151"/>
        <v>0.7833294448036433</v>
      </c>
      <c r="AH190" s="463">
        <f t="shared" si="152"/>
        <v>0</v>
      </c>
      <c r="AI190">
        <f t="shared" si="128"/>
        <v>0</v>
      </c>
      <c r="AJ190" s="464">
        <f t="shared" si="129"/>
        <v>0.43141355999999997</v>
      </c>
      <c r="AK190">
        <f t="shared" si="133"/>
        <v>7.2000000000000008E-2</v>
      </c>
      <c r="AL190" s="464">
        <f t="shared" si="134"/>
        <v>0.98399999999999999</v>
      </c>
      <c r="AM190" s="464">
        <f t="shared" si="135"/>
        <v>0.82265384615384629</v>
      </c>
      <c r="AN190" s="464">
        <f t="shared" si="153"/>
        <v>1.056</v>
      </c>
      <c r="AO190" s="464">
        <f t="shared" si="154"/>
        <v>8.139663950066657</v>
      </c>
      <c r="AP190" s="100">
        <f t="shared" si="130"/>
        <v>213.58000000000004</v>
      </c>
      <c r="AQ190" s="10">
        <f t="shared" si="155"/>
        <v>0.96328848869309225</v>
      </c>
      <c r="AR190" s="77">
        <f t="shared" si="156"/>
        <v>88.840135875479277</v>
      </c>
      <c r="AS190" s="77">
        <f t="shared" si="157"/>
        <v>39.166472240182166</v>
      </c>
      <c r="AT190" s="10"/>
      <c r="AU190">
        <f t="shared" si="158"/>
        <v>96.328848869309226</v>
      </c>
    </row>
    <row r="191" spans="7:47" x14ac:dyDescent="0.2">
      <c r="G191">
        <v>182</v>
      </c>
      <c r="H191">
        <f t="shared" si="120"/>
        <v>18.2</v>
      </c>
      <c r="I191" s="463">
        <f t="shared" si="136"/>
        <v>0.49682333333333334</v>
      </c>
      <c r="J191" s="464">
        <f t="shared" si="121"/>
        <v>8.0816595555555555</v>
      </c>
      <c r="K191" s="464">
        <f t="shared" si="131"/>
        <v>22.240829777777776</v>
      </c>
      <c r="L191" s="464">
        <f t="shared" si="137"/>
        <v>14.159170222222222</v>
      </c>
      <c r="M191" s="77">
        <f t="shared" si="122"/>
        <v>0</v>
      </c>
      <c r="N191" s="463">
        <f t="shared" si="138"/>
        <v>18.348917364002482</v>
      </c>
      <c r="O191" s="463">
        <f t="shared" si="139"/>
        <v>1.9454079799175066</v>
      </c>
      <c r="P191">
        <f t="shared" si="123"/>
        <v>0.5</v>
      </c>
      <c r="Q191" s="463">
        <f t="shared" si="132"/>
        <v>2.4454079799175066</v>
      </c>
      <c r="R191" s="9">
        <f t="shared" si="140"/>
        <v>2.3329741599494556</v>
      </c>
      <c r="S191" s="9">
        <f t="shared" si="141"/>
        <v>1.6328305292975603E-2</v>
      </c>
      <c r="T191" s="9">
        <f t="shared" si="142"/>
        <v>1.6328305292975603E-2</v>
      </c>
      <c r="U191" s="463">
        <f t="shared" si="143"/>
        <v>12.93336210301792</v>
      </c>
      <c r="V191" s="465">
        <f t="shared" si="144"/>
        <v>1.6727185528778012</v>
      </c>
      <c r="W191" s="463">
        <f t="shared" si="145"/>
        <v>1.6727185528778012</v>
      </c>
      <c r="X191" s="463">
        <f t="shared" si="146"/>
        <v>12.93336210301792</v>
      </c>
      <c r="Y191" s="463">
        <f t="shared" si="147"/>
        <v>0.30108933951800421</v>
      </c>
      <c r="Z191" s="463">
        <f t="shared" si="124"/>
        <v>1.3500560384857865</v>
      </c>
      <c r="AA191" s="463">
        <f t="shared" si="125"/>
        <v>2.9999999999999992E-2</v>
      </c>
      <c r="AB191" s="463">
        <f t="shared" si="126"/>
        <v>0</v>
      </c>
      <c r="AC191" s="463">
        <f t="shared" si="148"/>
        <v>1.7888671433384367</v>
      </c>
      <c r="AD191" s="463">
        <f t="shared" si="149"/>
        <v>13.015794756495342</v>
      </c>
      <c r="AE191" s="463">
        <f t="shared" si="150"/>
        <v>0.30493964365778098</v>
      </c>
      <c r="AF191" s="463">
        <f t="shared" si="127"/>
        <v>0.43679999999999997</v>
      </c>
      <c r="AG191" s="463">
        <f t="shared" si="151"/>
        <v>0.789914918405488</v>
      </c>
      <c r="AH191" s="463">
        <f t="shared" si="152"/>
        <v>0</v>
      </c>
      <c r="AI191">
        <f t="shared" si="128"/>
        <v>0</v>
      </c>
      <c r="AJ191" s="464">
        <f t="shared" si="129"/>
        <v>0.43141031999999996</v>
      </c>
      <c r="AK191">
        <f t="shared" si="133"/>
        <v>7.2000000000000008E-2</v>
      </c>
      <c r="AL191" s="464">
        <f t="shared" si="134"/>
        <v>0.98399999999999999</v>
      </c>
      <c r="AM191" s="464">
        <f t="shared" si="135"/>
        <v>0.82265384615384629</v>
      </c>
      <c r="AN191" s="464">
        <f t="shared" si="153"/>
        <v>1.056</v>
      </c>
      <c r="AO191" s="464">
        <f t="shared" si="154"/>
        <v>8.2006472198322093</v>
      </c>
      <c r="AP191" s="100">
        <f t="shared" si="130"/>
        <v>214.76</v>
      </c>
      <c r="AQ191" s="10">
        <f t="shared" si="155"/>
        <v>0.96321930653642829</v>
      </c>
      <c r="AR191" s="77">
        <f t="shared" si="156"/>
        <v>89.443357166921828</v>
      </c>
      <c r="AS191" s="77">
        <f t="shared" si="157"/>
        <v>39.495745920274402</v>
      </c>
      <c r="AT191" s="10"/>
      <c r="AU191">
        <f t="shared" si="158"/>
        <v>96.321930653642823</v>
      </c>
    </row>
    <row r="192" spans="7:47" x14ac:dyDescent="0.2">
      <c r="G192">
        <v>183</v>
      </c>
      <c r="H192">
        <f t="shared" si="120"/>
        <v>18.3</v>
      </c>
      <c r="I192" s="463">
        <f t="shared" si="136"/>
        <v>0.49685166666666669</v>
      </c>
      <c r="J192" s="464">
        <f t="shared" si="121"/>
        <v>8.0821204444444437</v>
      </c>
      <c r="K192" s="464">
        <f t="shared" si="131"/>
        <v>22.341060222222222</v>
      </c>
      <c r="L192" s="464">
        <f t="shared" si="137"/>
        <v>14.25893977777778</v>
      </c>
      <c r="M192" s="77">
        <f t="shared" si="122"/>
        <v>0</v>
      </c>
      <c r="N192" s="463">
        <f t="shared" si="138"/>
        <v>18.448126984598616</v>
      </c>
      <c r="O192" s="463">
        <f t="shared" si="139"/>
        <v>1.9698259649442529</v>
      </c>
      <c r="P192">
        <f t="shared" si="123"/>
        <v>0.5</v>
      </c>
      <c r="Q192" s="463">
        <f t="shared" si="132"/>
        <v>2.4698259649442527</v>
      </c>
      <c r="R192" s="9">
        <f t="shared" si="140"/>
        <v>2.3331072071114889</v>
      </c>
      <c r="S192" s="9">
        <f t="shared" si="141"/>
        <v>1.6330167719626715E-2</v>
      </c>
      <c r="T192" s="9">
        <f t="shared" si="142"/>
        <v>1.6330167719626715E-2</v>
      </c>
      <c r="U192" s="463">
        <f t="shared" si="143"/>
        <v>13.003661471529764</v>
      </c>
      <c r="V192" s="465">
        <f t="shared" si="144"/>
        <v>1.6909521166614763</v>
      </c>
      <c r="W192" s="463">
        <f t="shared" si="145"/>
        <v>1.6909521166614763</v>
      </c>
      <c r="X192" s="463">
        <f t="shared" si="146"/>
        <v>13.003661471529764</v>
      </c>
      <c r="Y192" s="463">
        <f t="shared" si="147"/>
        <v>0.30437138099906574</v>
      </c>
      <c r="Z192" s="463">
        <f t="shared" si="124"/>
        <v>1.3569703656259238</v>
      </c>
      <c r="AA192" s="463">
        <f t="shared" si="125"/>
        <v>2.9999999999999992E-2</v>
      </c>
      <c r="AB192" s="463">
        <f t="shared" si="126"/>
        <v>0</v>
      </c>
      <c r="AC192" s="463">
        <f t="shared" si="148"/>
        <v>1.800974782993856</v>
      </c>
      <c r="AD192" s="463">
        <f t="shared" si="149"/>
        <v>13.085800608817483</v>
      </c>
      <c r="AE192" s="463">
        <f t="shared" si="150"/>
        <v>0.30822871963271037</v>
      </c>
      <c r="AF192" s="463">
        <f t="shared" si="127"/>
        <v>0.43920000000000003</v>
      </c>
      <c r="AG192" s="463">
        <f t="shared" si="151"/>
        <v>0.79653149628193176</v>
      </c>
      <c r="AH192" s="463">
        <f t="shared" si="152"/>
        <v>0</v>
      </c>
      <c r="AI192">
        <f t="shared" si="128"/>
        <v>0</v>
      </c>
      <c r="AJ192" s="464">
        <f t="shared" si="129"/>
        <v>0.43140707999999994</v>
      </c>
      <c r="AK192">
        <f t="shared" si="133"/>
        <v>7.2000000000000008E-2</v>
      </c>
      <c r="AL192" s="464">
        <f t="shared" si="134"/>
        <v>0.98399999999999999</v>
      </c>
      <c r="AM192" s="464">
        <f t="shared" si="135"/>
        <v>0.82265384615384629</v>
      </c>
      <c r="AN192" s="464">
        <f t="shared" si="153"/>
        <v>1.056</v>
      </c>
      <c r="AO192" s="464">
        <f t="shared" si="154"/>
        <v>8.2620216086011435</v>
      </c>
      <c r="AP192" s="100">
        <f t="shared" si="130"/>
        <v>215.94000000000003</v>
      </c>
      <c r="AQ192" s="10">
        <f t="shared" si="155"/>
        <v>0.96314921003243892</v>
      </c>
      <c r="AR192" s="77">
        <f t="shared" si="156"/>
        <v>90.048739149692807</v>
      </c>
      <c r="AS192" s="77">
        <f t="shared" si="157"/>
        <v>39.826574814096588</v>
      </c>
      <c r="AT192" s="10"/>
      <c r="AU192">
        <f t="shared" si="158"/>
        <v>96.314921003243896</v>
      </c>
    </row>
    <row r="193" spans="7:47" x14ac:dyDescent="0.2">
      <c r="G193">
        <v>184</v>
      </c>
      <c r="H193">
        <f t="shared" si="120"/>
        <v>18.400000000000002</v>
      </c>
      <c r="I193" s="463">
        <f t="shared" si="136"/>
        <v>0.49688000000000004</v>
      </c>
      <c r="J193" s="464">
        <f t="shared" si="121"/>
        <v>8.0825813333333336</v>
      </c>
      <c r="K193" s="464">
        <f t="shared" si="131"/>
        <v>22.441290666666667</v>
      </c>
      <c r="L193" s="464">
        <f t="shared" si="137"/>
        <v>14.358709333333335</v>
      </c>
      <c r="M193" s="77">
        <f t="shared" si="122"/>
        <v>0</v>
      </c>
      <c r="N193" s="463">
        <f t="shared" si="138"/>
        <v>18.547345095300361</v>
      </c>
      <c r="O193" s="463">
        <f t="shared" si="139"/>
        <v>1.9944610964790748</v>
      </c>
      <c r="P193">
        <f t="shared" si="123"/>
        <v>0.5</v>
      </c>
      <c r="Q193" s="463">
        <f t="shared" si="132"/>
        <v>2.4944610964790748</v>
      </c>
      <c r="R193" s="9">
        <f t="shared" si="140"/>
        <v>2.3332402542735222</v>
      </c>
      <c r="S193" s="9">
        <f t="shared" si="141"/>
        <v>1.6332030252487112E-2</v>
      </c>
      <c r="T193" s="9">
        <f t="shared" si="142"/>
        <v>1.6332030252487112E-2</v>
      </c>
      <c r="U193" s="463">
        <f t="shared" si="143"/>
        <v>13.073970801964437</v>
      </c>
      <c r="V193" s="465">
        <f t="shared" si="144"/>
        <v>1.7092871253061865</v>
      </c>
      <c r="W193" s="463">
        <f t="shared" si="145"/>
        <v>1.7092871253061865</v>
      </c>
      <c r="X193" s="463">
        <f t="shared" si="146"/>
        <v>13.073970801964437</v>
      </c>
      <c r="Y193" s="463">
        <f t="shared" si="147"/>
        <v>0.30767168255511357</v>
      </c>
      <c r="Z193" s="463">
        <f t="shared" si="124"/>
        <v>1.3638846927660608</v>
      </c>
      <c r="AA193" s="463">
        <f t="shared" si="125"/>
        <v>2.9999999999999992E-2</v>
      </c>
      <c r="AB193" s="463">
        <f t="shared" si="126"/>
        <v>0</v>
      </c>
      <c r="AC193" s="463">
        <f t="shared" si="148"/>
        <v>1.8131258729224247</v>
      </c>
      <c r="AD193" s="463">
        <f t="shared" si="149"/>
        <v>13.155808510066715</v>
      </c>
      <c r="AE193" s="463">
        <f t="shared" si="150"/>
        <v>0.31153553559637881</v>
      </c>
      <c r="AF193" s="463">
        <f t="shared" si="127"/>
        <v>0.44160000000000005</v>
      </c>
      <c r="AG193" s="463">
        <f t="shared" si="151"/>
        <v>0.80317931522616193</v>
      </c>
      <c r="AH193" s="463">
        <f t="shared" si="152"/>
        <v>0</v>
      </c>
      <c r="AI193">
        <f t="shared" si="128"/>
        <v>0</v>
      </c>
      <c r="AJ193" s="464">
        <f t="shared" si="129"/>
        <v>0.43140383999999998</v>
      </c>
      <c r="AK193">
        <f t="shared" si="133"/>
        <v>7.2000000000000008E-2</v>
      </c>
      <c r="AL193" s="464">
        <f t="shared" si="134"/>
        <v>0.98399999999999999</v>
      </c>
      <c r="AM193" s="464">
        <f t="shared" si="135"/>
        <v>0.82265384615384629</v>
      </c>
      <c r="AN193" s="464">
        <f t="shared" si="153"/>
        <v>1.056</v>
      </c>
      <c r="AO193" s="464">
        <f t="shared" si="154"/>
        <v>8.3237892801863342</v>
      </c>
      <c r="AP193" s="100">
        <f t="shared" si="130"/>
        <v>217.12000000000003</v>
      </c>
      <c r="AQ193" s="10">
        <f t="shared" si="155"/>
        <v>0.9630782054064867</v>
      </c>
      <c r="AR193" s="77">
        <f t="shared" si="156"/>
        <v>90.656293646121227</v>
      </c>
      <c r="AS193" s="77">
        <f t="shared" si="157"/>
        <v>40.158965761308096</v>
      </c>
      <c r="AT193" s="10"/>
      <c r="AU193">
        <f t="shared" si="158"/>
        <v>96.307820540648663</v>
      </c>
    </row>
    <row r="194" spans="7:47" x14ac:dyDescent="0.2">
      <c r="G194">
        <v>185</v>
      </c>
      <c r="H194">
        <f t="shared" si="120"/>
        <v>18.5</v>
      </c>
      <c r="I194" s="463">
        <f t="shared" si="136"/>
        <v>0.49690833333333334</v>
      </c>
      <c r="J194" s="464">
        <f t="shared" si="121"/>
        <v>8.0830422222222218</v>
      </c>
      <c r="K194" s="464">
        <f t="shared" si="131"/>
        <v>22.541521111111109</v>
      </c>
      <c r="L194" s="464">
        <f t="shared" si="137"/>
        <v>14.458478888888889</v>
      </c>
      <c r="M194" s="77">
        <f t="shared" si="122"/>
        <v>0</v>
      </c>
      <c r="N194" s="463">
        <f t="shared" si="138"/>
        <v>18.646571560580576</v>
      </c>
      <c r="O194" s="463">
        <f t="shared" si="139"/>
        <v>2.0193151722678069</v>
      </c>
      <c r="P194">
        <f t="shared" si="123"/>
        <v>0.5</v>
      </c>
      <c r="Q194" s="463">
        <f t="shared" si="132"/>
        <v>2.5193151722678069</v>
      </c>
      <c r="R194" s="9">
        <f t="shared" si="140"/>
        <v>2.3333733014355555</v>
      </c>
      <c r="S194" s="9">
        <f t="shared" si="141"/>
        <v>1.6333892891556793E-2</v>
      </c>
      <c r="T194" s="9">
        <f t="shared" si="142"/>
        <v>1.6333892891556793E-2</v>
      </c>
      <c r="U194" s="463">
        <f t="shared" si="143"/>
        <v>13.144289999128757</v>
      </c>
      <c r="V194" s="465">
        <f t="shared" si="144"/>
        <v>1.7277235958119628</v>
      </c>
      <c r="W194" s="463">
        <f t="shared" si="145"/>
        <v>1.7277235958119628</v>
      </c>
      <c r="X194" s="463">
        <f t="shared" si="146"/>
        <v>13.144289999128757</v>
      </c>
      <c r="Y194" s="463">
        <f t="shared" si="147"/>
        <v>0.31099024724615326</v>
      </c>
      <c r="Z194" s="463">
        <f t="shared" si="124"/>
        <v>1.3707990199061977</v>
      </c>
      <c r="AA194" s="463">
        <f t="shared" si="125"/>
        <v>2.9999999999999992E-2</v>
      </c>
      <c r="AB194" s="463">
        <f t="shared" si="126"/>
        <v>0</v>
      </c>
      <c r="AC194" s="463">
        <f t="shared" si="148"/>
        <v>1.825320651281457</v>
      </c>
      <c r="AD194" s="463">
        <f t="shared" si="149"/>
        <v>13.225818363438087</v>
      </c>
      <c r="AE194" s="463">
        <f t="shared" si="150"/>
        <v>0.314860088488781</v>
      </c>
      <c r="AF194" s="463">
        <f t="shared" si="127"/>
        <v>0.44400000000000001</v>
      </c>
      <c r="AG194" s="463">
        <f t="shared" si="151"/>
        <v>0.80985851310895673</v>
      </c>
      <c r="AH194" s="463">
        <f t="shared" si="152"/>
        <v>0</v>
      </c>
      <c r="AI194">
        <f t="shared" si="128"/>
        <v>0</v>
      </c>
      <c r="AJ194" s="464">
        <f t="shared" si="129"/>
        <v>0.43140059999999997</v>
      </c>
      <c r="AK194">
        <f t="shared" si="133"/>
        <v>7.2000000000000008E-2</v>
      </c>
      <c r="AL194" s="464">
        <f t="shared" si="134"/>
        <v>0.98399999999999999</v>
      </c>
      <c r="AM194" s="464">
        <f t="shared" si="135"/>
        <v>0.82265384615384629</v>
      </c>
      <c r="AN194" s="464">
        <f t="shared" si="153"/>
        <v>1.056</v>
      </c>
      <c r="AO194" s="464">
        <f t="shared" si="154"/>
        <v>8.3859524253617401</v>
      </c>
      <c r="AP194" s="100">
        <f t="shared" si="130"/>
        <v>218.3</v>
      </c>
      <c r="AQ194" s="10">
        <f t="shared" si="155"/>
        <v>0.96300629864515797</v>
      </c>
      <c r="AR194" s="77">
        <f t="shared" si="156"/>
        <v>91.266032564072859</v>
      </c>
      <c r="AS194" s="77">
        <f t="shared" si="157"/>
        <v>40.492925655447834</v>
      </c>
      <c r="AT194" s="10"/>
      <c r="AU194">
        <f t="shared" si="158"/>
        <v>96.300629864515798</v>
      </c>
    </row>
    <row r="195" spans="7:47" x14ac:dyDescent="0.2">
      <c r="G195">
        <v>186</v>
      </c>
      <c r="H195">
        <f t="shared" si="120"/>
        <v>18.600000000000001</v>
      </c>
      <c r="I195" s="463">
        <f t="shared" si="136"/>
        <v>0.49693666666666675</v>
      </c>
      <c r="J195" s="464">
        <f t="shared" si="121"/>
        <v>8.0835031111111117</v>
      </c>
      <c r="K195" s="464">
        <f t="shared" si="131"/>
        <v>22.641751555555558</v>
      </c>
      <c r="L195" s="464">
        <f t="shared" si="137"/>
        <v>14.558248444444445</v>
      </c>
      <c r="M195" s="77">
        <f t="shared" si="122"/>
        <v>0</v>
      </c>
      <c r="N195" s="463">
        <f t="shared" si="138"/>
        <v>18.745806247770336</v>
      </c>
      <c r="O195" s="463">
        <f t="shared" si="139"/>
        <v>2.0443900146028535</v>
      </c>
      <c r="P195">
        <f t="shared" si="123"/>
        <v>0.5</v>
      </c>
      <c r="Q195" s="463">
        <f t="shared" si="132"/>
        <v>2.5443900146028535</v>
      </c>
      <c r="R195" s="9">
        <f t="shared" si="140"/>
        <v>2.3335063485975889</v>
      </c>
      <c r="S195" s="9">
        <f t="shared" si="141"/>
        <v>1.6335755636835755E-2</v>
      </c>
      <c r="T195" s="9">
        <f t="shared" si="142"/>
        <v>1.6335755636835755E-2</v>
      </c>
      <c r="U195" s="463">
        <f t="shared" si="143"/>
        <v>13.214618969833506</v>
      </c>
      <c r="V195" s="465">
        <f t="shared" si="144"/>
        <v>1.7462615451788355</v>
      </c>
      <c r="W195" s="463">
        <f t="shared" si="145"/>
        <v>1.7462615451788355</v>
      </c>
      <c r="X195" s="463">
        <f t="shared" si="146"/>
        <v>13.214618969833506</v>
      </c>
      <c r="Y195" s="463">
        <f t="shared" si="147"/>
        <v>0.31432707813219041</v>
      </c>
      <c r="Z195" s="463">
        <f t="shared" si="124"/>
        <v>1.377713347046335</v>
      </c>
      <c r="AA195" s="463">
        <f t="shared" si="125"/>
        <v>2.9999999999999992E-2</v>
      </c>
      <c r="AB195" s="463">
        <f t="shared" si="126"/>
        <v>0</v>
      </c>
      <c r="AC195" s="463">
        <f t="shared" si="148"/>
        <v>1.8375593579545917</v>
      </c>
      <c r="AD195" s="463">
        <f t="shared" si="149"/>
        <v>13.295830074164673</v>
      </c>
      <c r="AE195" s="463">
        <f t="shared" si="150"/>
        <v>0.31820237524991118</v>
      </c>
      <c r="AF195" s="463">
        <f t="shared" si="127"/>
        <v>0.44640000000000002</v>
      </c>
      <c r="AG195" s="463">
        <f t="shared" si="151"/>
        <v>0.81656922888750993</v>
      </c>
      <c r="AH195" s="463">
        <f t="shared" si="152"/>
        <v>0</v>
      </c>
      <c r="AI195">
        <f t="shared" si="128"/>
        <v>0</v>
      </c>
      <c r="AJ195" s="464">
        <f t="shared" si="129"/>
        <v>0.43139735999999995</v>
      </c>
      <c r="AK195">
        <f t="shared" si="133"/>
        <v>7.2000000000000008E-2</v>
      </c>
      <c r="AL195" s="464">
        <f t="shared" si="134"/>
        <v>0.98399999999999999</v>
      </c>
      <c r="AM195" s="464">
        <f t="shared" si="135"/>
        <v>0.82265384615384629</v>
      </c>
      <c r="AN195" s="464">
        <f t="shared" si="153"/>
        <v>1.056</v>
      </c>
      <c r="AO195" s="464">
        <f t="shared" si="154"/>
        <v>8.4485132622606258</v>
      </c>
      <c r="AP195" s="100">
        <f t="shared" si="130"/>
        <v>219.48000000000002</v>
      </c>
      <c r="AQ195" s="10">
        <f t="shared" si="155"/>
        <v>0.96293349550111118</v>
      </c>
      <c r="AR195" s="77">
        <f t="shared" si="156"/>
        <v>91.87796789772959</v>
      </c>
      <c r="AS195" s="77">
        <f t="shared" si="157"/>
        <v>40.828461444375499</v>
      </c>
      <c r="AT195" s="10"/>
      <c r="AU195">
        <f t="shared" si="158"/>
        <v>96.293349550111117</v>
      </c>
    </row>
    <row r="196" spans="7:47" x14ac:dyDescent="0.2">
      <c r="G196">
        <v>187</v>
      </c>
      <c r="H196">
        <f t="shared" si="120"/>
        <v>18.700000000000003</v>
      </c>
      <c r="I196" s="463">
        <f t="shared" si="136"/>
        <v>0.49696500000000005</v>
      </c>
      <c r="J196" s="464">
        <f t="shared" si="121"/>
        <v>8.0839639999999999</v>
      </c>
      <c r="K196" s="464">
        <f t="shared" si="131"/>
        <v>22.741982000000004</v>
      </c>
      <c r="L196" s="464">
        <f t="shared" si="137"/>
        <v>14.658018000000002</v>
      </c>
      <c r="M196" s="77">
        <f t="shared" si="122"/>
        <v>0</v>
      </c>
      <c r="N196" s="463">
        <f t="shared" si="138"/>
        <v>18.845049026984288</v>
      </c>
      <c r="O196" s="463">
        <f t="shared" si="139"/>
        <v>2.0696874707042996</v>
      </c>
      <c r="P196">
        <f t="shared" si="123"/>
        <v>0.5</v>
      </c>
      <c r="Q196" s="463">
        <f t="shared" si="132"/>
        <v>2.5696874707042996</v>
      </c>
      <c r="R196" s="9">
        <f t="shared" si="140"/>
        <v>2.3336393957596222</v>
      </c>
      <c r="S196" s="9">
        <f t="shared" si="141"/>
        <v>1.6337618488324004E-2</v>
      </c>
      <c r="T196" s="9">
        <f t="shared" si="142"/>
        <v>1.6337618488324004E-2</v>
      </c>
      <c r="U196" s="463">
        <f t="shared" si="143"/>
        <v>13.284957622841082</v>
      </c>
      <c r="V196" s="465">
        <f t="shared" si="144"/>
        <v>1.764900990406834</v>
      </c>
      <c r="W196" s="463">
        <f t="shared" si="145"/>
        <v>1.764900990406834</v>
      </c>
      <c r="X196" s="463">
        <f t="shared" si="146"/>
        <v>13.284957622841082</v>
      </c>
      <c r="Y196" s="463">
        <f t="shared" si="147"/>
        <v>0.31768217827323009</v>
      </c>
      <c r="Z196" s="463">
        <f t="shared" si="124"/>
        <v>1.384627674186472</v>
      </c>
      <c r="AA196" s="463">
        <f t="shared" si="125"/>
        <v>2.9999999999999992E-2</v>
      </c>
      <c r="AB196" s="463">
        <f t="shared" si="126"/>
        <v>0</v>
      </c>
      <c r="AC196" s="463">
        <f t="shared" si="148"/>
        <v>1.84984223456755</v>
      </c>
      <c r="AD196" s="463">
        <f t="shared" si="149"/>
        <v>13.36584354946436</v>
      </c>
      <c r="AE196" s="463">
        <f t="shared" si="150"/>
        <v>0.32156239281976445</v>
      </c>
      <c r="AF196" s="463">
        <f t="shared" si="127"/>
        <v>0.44880000000000009</v>
      </c>
      <c r="AG196" s="463">
        <f t="shared" si="151"/>
        <v>0.82331160261435377</v>
      </c>
      <c r="AH196" s="463">
        <f t="shared" si="152"/>
        <v>0</v>
      </c>
      <c r="AI196">
        <f t="shared" si="128"/>
        <v>0</v>
      </c>
      <c r="AJ196" s="464">
        <f t="shared" si="129"/>
        <v>0.43139411999999994</v>
      </c>
      <c r="AK196">
        <f t="shared" si="133"/>
        <v>7.2000000000000008E-2</v>
      </c>
      <c r="AL196" s="464">
        <f t="shared" si="134"/>
        <v>0.98399999999999999</v>
      </c>
      <c r="AM196" s="464">
        <f t="shared" si="135"/>
        <v>0.82265384615384629</v>
      </c>
      <c r="AN196" s="464">
        <f t="shared" si="153"/>
        <v>1.056</v>
      </c>
      <c r="AO196" s="464">
        <f t="shared" si="154"/>
        <v>8.5114740367813617</v>
      </c>
      <c r="AP196" s="100">
        <f t="shared" si="130"/>
        <v>220.66000000000005</v>
      </c>
      <c r="AQ196" s="10">
        <f t="shared" si="155"/>
        <v>0.96285980149774097</v>
      </c>
      <c r="AR196" s="77">
        <f t="shared" si="156"/>
        <v>92.492111728377495</v>
      </c>
      <c r="AS196" s="77">
        <f t="shared" si="157"/>
        <v>41.165580130717686</v>
      </c>
      <c r="AT196" s="10"/>
      <c r="AU196">
        <f t="shared" si="158"/>
        <v>96.285980149774105</v>
      </c>
    </row>
    <row r="197" spans="7:47" x14ac:dyDescent="0.2">
      <c r="G197">
        <v>188</v>
      </c>
      <c r="H197">
        <f t="shared" si="120"/>
        <v>18.799999999999997</v>
      </c>
      <c r="I197" s="463">
        <f t="shared" si="136"/>
        <v>0.49699333333333334</v>
      </c>
      <c r="J197" s="464">
        <f t="shared" si="121"/>
        <v>8.0844248888888881</v>
      </c>
      <c r="K197" s="464">
        <f t="shared" si="131"/>
        <v>22.842212444444442</v>
      </c>
      <c r="L197" s="464">
        <f t="shared" si="137"/>
        <v>14.757787555555552</v>
      </c>
      <c r="M197" s="77">
        <f t="shared" si="122"/>
        <v>0</v>
      </c>
      <c r="N197" s="463">
        <f t="shared" si="138"/>
        <v>18.944299771048293</v>
      </c>
      <c r="O197" s="463">
        <f t="shared" si="139"/>
        <v>2.0952094131084587</v>
      </c>
      <c r="P197">
        <f t="shared" si="123"/>
        <v>0.5</v>
      </c>
      <c r="Q197" s="463">
        <f t="shared" si="132"/>
        <v>2.5952094131084587</v>
      </c>
      <c r="R197" s="9">
        <f t="shared" si="140"/>
        <v>2.3337724429216551</v>
      </c>
      <c r="S197" s="9">
        <f t="shared" si="141"/>
        <v>1.6339481446021532E-2</v>
      </c>
      <c r="T197" s="9">
        <f t="shared" si="142"/>
        <v>1.6339481446021532E-2</v>
      </c>
      <c r="U197" s="463">
        <f t="shared" si="143"/>
        <v>13.355305868814789</v>
      </c>
      <c r="V197" s="465">
        <f t="shared" si="144"/>
        <v>1.7836419484959873</v>
      </c>
      <c r="W197" s="463">
        <f t="shared" si="145"/>
        <v>1.7836419484959873</v>
      </c>
      <c r="X197" s="463">
        <f t="shared" si="146"/>
        <v>13.355305868814789</v>
      </c>
      <c r="Y197" s="463">
        <f t="shared" si="147"/>
        <v>0.32105555072927772</v>
      </c>
      <c r="Z197" s="463">
        <f t="shared" si="124"/>
        <v>1.3915420013266087</v>
      </c>
      <c r="AA197" s="463">
        <f t="shared" si="125"/>
        <v>2.9999999999999992E-2</v>
      </c>
      <c r="AB197" s="463">
        <f t="shared" si="126"/>
        <v>0</v>
      </c>
      <c r="AC197" s="463">
        <f t="shared" si="148"/>
        <v>1.8621695245040728</v>
      </c>
      <c r="AD197" s="463">
        <f t="shared" si="149"/>
        <v>13.435858698488223</v>
      </c>
      <c r="AE197" s="463">
        <f t="shared" si="150"/>
        <v>0.324940138138335</v>
      </c>
      <c r="AF197" s="463">
        <f t="shared" si="127"/>
        <v>0.45119999999999993</v>
      </c>
      <c r="AG197" s="463">
        <f t="shared" si="151"/>
        <v>0.83008577544637752</v>
      </c>
      <c r="AH197" s="463">
        <f t="shared" si="152"/>
        <v>0</v>
      </c>
      <c r="AI197">
        <f t="shared" si="128"/>
        <v>0</v>
      </c>
      <c r="AJ197" s="464">
        <f t="shared" si="129"/>
        <v>0.43139087999999992</v>
      </c>
      <c r="AK197">
        <f t="shared" si="133"/>
        <v>7.2000000000000008E-2</v>
      </c>
      <c r="AL197" s="464">
        <f t="shared" si="134"/>
        <v>0.98399999999999999</v>
      </c>
      <c r="AM197" s="464">
        <f t="shared" si="135"/>
        <v>0.82265384615384629</v>
      </c>
      <c r="AN197" s="464">
        <f t="shared" si="153"/>
        <v>1.056</v>
      </c>
      <c r="AO197" s="464">
        <f t="shared" si="154"/>
        <v>8.5748370230009172</v>
      </c>
      <c r="AP197" s="100">
        <f t="shared" si="130"/>
        <v>221.83999999999997</v>
      </c>
      <c r="AQ197" s="10">
        <f t="shared" si="155"/>
        <v>0.96278522193366844</v>
      </c>
      <c r="AR197" s="77">
        <f t="shared" si="156"/>
        <v>93.108476225203646</v>
      </c>
      <c r="AS197" s="77">
        <f t="shared" si="157"/>
        <v>41.504288772318873</v>
      </c>
      <c r="AT197" s="10"/>
      <c r="AU197">
        <f t="shared" si="158"/>
        <v>96.27852219336684</v>
      </c>
    </row>
    <row r="198" spans="7:47" x14ac:dyDescent="0.2">
      <c r="G198">
        <v>189</v>
      </c>
      <c r="H198">
        <f t="shared" si="120"/>
        <v>18.899999999999999</v>
      </c>
      <c r="I198" s="463">
        <f t="shared" si="136"/>
        <v>0.49702166666666669</v>
      </c>
      <c r="J198" s="464">
        <f t="shared" si="121"/>
        <v>8.0848857777777781</v>
      </c>
      <c r="K198" s="464">
        <f t="shared" si="131"/>
        <v>22.942442888888888</v>
      </c>
      <c r="L198" s="464">
        <f t="shared" si="137"/>
        <v>14.85755711111111</v>
      </c>
      <c r="M198" s="77">
        <f t="shared" si="122"/>
        <v>0</v>
      </c>
      <c r="N198" s="463">
        <f t="shared" si="138"/>
        <v>19.04355835542934</v>
      </c>
      <c r="O198" s="463">
        <f t="shared" si="139"/>
        <v>2.1209577400640418</v>
      </c>
      <c r="P198">
        <f t="shared" si="123"/>
        <v>0.5</v>
      </c>
      <c r="Q198" s="463">
        <f t="shared" si="132"/>
        <v>2.6209577400640418</v>
      </c>
      <c r="R198" s="9">
        <f t="shared" si="140"/>
        <v>2.3339054900836889</v>
      </c>
      <c r="S198" s="9">
        <f t="shared" si="141"/>
        <v>1.634134450992835E-2</v>
      </c>
      <c r="T198" s="9">
        <f t="shared" si="142"/>
        <v>1.634134450992835E-2</v>
      </c>
      <c r="U198" s="463">
        <f t="shared" si="143"/>
        <v>13.425663620269683</v>
      </c>
      <c r="V198" s="465">
        <f t="shared" si="144"/>
        <v>1.8024844364463286</v>
      </c>
      <c r="W198" s="463">
        <f t="shared" si="145"/>
        <v>1.8024844364463286</v>
      </c>
      <c r="X198" s="463">
        <f t="shared" si="146"/>
        <v>13.425663620269683</v>
      </c>
      <c r="Y198" s="463">
        <f t="shared" si="147"/>
        <v>0.32444719856033916</v>
      </c>
      <c r="Z198" s="463">
        <f t="shared" si="124"/>
        <v>1.3984563284667457</v>
      </c>
      <c r="AA198" s="463">
        <f t="shared" si="125"/>
        <v>2.9999999999999992E-2</v>
      </c>
      <c r="AB198" s="463">
        <f t="shared" si="126"/>
        <v>0</v>
      </c>
      <c r="AC198" s="463">
        <f t="shared" si="148"/>
        <v>1.8745414729220298</v>
      </c>
      <c r="AD198" s="463">
        <f t="shared" si="149"/>
        <v>13.505875432270571</v>
      </c>
      <c r="AE198" s="463">
        <f t="shared" si="150"/>
        <v>0.32833560814561763</v>
      </c>
      <c r="AF198" s="463">
        <f t="shared" si="127"/>
        <v>0.45359999999999995</v>
      </c>
      <c r="AG198" s="463">
        <f t="shared" si="151"/>
        <v>0.83689188965395067</v>
      </c>
      <c r="AH198" s="463">
        <f t="shared" si="152"/>
        <v>0</v>
      </c>
      <c r="AI198">
        <f t="shared" si="128"/>
        <v>0</v>
      </c>
      <c r="AJ198" s="464">
        <f t="shared" si="129"/>
        <v>0.43138763999999996</v>
      </c>
      <c r="AK198">
        <f t="shared" si="133"/>
        <v>7.2000000000000008E-2</v>
      </c>
      <c r="AL198" s="464">
        <f t="shared" si="134"/>
        <v>0.98399999999999999</v>
      </c>
      <c r="AM198" s="464">
        <f t="shared" si="135"/>
        <v>0.82265384615384629</v>
      </c>
      <c r="AN198" s="464">
        <f t="shared" si="153"/>
        <v>1.056</v>
      </c>
      <c r="AO198" s="464">
        <f t="shared" si="154"/>
        <v>8.6386045235962783</v>
      </c>
      <c r="AP198" s="100">
        <f t="shared" si="130"/>
        <v>223.02</v>
      </c>
      <c r="AQ198" s="10">
        <f t="shared" si="155"/>
        <v>0.96270976188706003</v>
      </c>
      <c r="AR198" s="77">
        <f t="shared" si="156"/>
        <v>93.727073646101488</v>
      </c>
      <c r="AS198" s="77">
        <f t="shared" si="157"/>
        <v>41.844594482697531</v>
      </c>
      <c r="AT198" s="10"/>
      <c r="AU198">
        <f t="shared" si="158"/>
        <v>96.270976188706001</v>
      </c>
    </row>
    <row r="199" spans="7:47" x14ac:dyDescent="0.2">
      <c r="G199">
        <v>190</v>
      </c>
      <c r="H199">
        <f t="shared" si="120"/>
        <v>19</v>
      </c>
      <c r="I199" s="463">
        <f t="shared" si="136"/>
        <v>0.49705000000000005</v>
      </c>
      <c r="J199" s="464">
        <f t="shared" si="121"/>
        <v>8.085346666666668</v>
      </c>
      <c r="K199" s="464">
        <f t="shared" si="131"/>
        <v>23.042673333333333</v>
      </c>
      <c r="L199" s="464">
        <f t="shared" si="137"/>
        <v>14.957326666666667</v>
      </c>
      <c r="M199" s="77">
        <f t="shared" si="122"/>
        <v>0</v>
      </c>
      <c r="N199" s="463">
        <f t="shared" si="138"/>
        <v>19.142824658167566</v>
      </c>
      <c r="O199" s="463">
        <f t="shared" si="139"/>
        <v>2.1469343759360928</v>
      </c>
      <c r="P199">
        <f t="shared" si="123"/>
        <v>0.5</v>
      </c>
      <c r="Q199" s="463">
        <f t="shared" si="132"/>
        <v>2.6469343759360928</v>
      </c>
      <c r="R199" s="9">
        <f t="shared" si="140"/>
        <v>2.3340385372457222</v>
      </c>
      <c r="S199" s="9">
        <f t="shared" si="141"/>
        <v>1.6343207680044453E-2</v>
      </c>
      <c r="T199" s="9">
        <f t="shared" si="142"/>
        <v>1.6343207680044453E-2</v>
      </c>
      <c r="U199" s="463">
        <f t="shared" si="143"/>
        <v>13.49603079152492</v>
      </c>
      <c r="V199" s="465">
        <f t="shared" si="144"/>
        <v>1.8214284712578874</v>
      </c>
      <c r="W199" s="463">
        <f t="shared" si="145"/>
        <v>1.8214284712578874</v>
      </c>
      <c r="X199" s="463">
        <f t="shared" si="146"/>
        <v>13.49603079152492</v>
      </c>
      <c r="Y199" s="463">
        <f t="shared" si="147"/>
        <v>0.32785712482641971</v>
      </c>
      <c r="Z199" s="463">
        <f t="shared" si="124"/>
        <v>1.4053706556068828</v>
      </c>
      <c r="AA199" s="463">
        <f t="shared" si="125"/>
        <v>2.9999999999999992E-2</v>
      </c>
      <c r="AB199" s="463">
        <f t="shared" si="126"/>
        <v>0</v>
      </c>
      <c r="AC199" s="463">
        <f t="shared" si="148"/>
        <v>1.8869583267696994</v>
      </c>
      <c r="AD199" s="463">
        <f t="shared" si="149"/>
        <v>13.575893663680466</v>
      </c>
      <c r="AE199" s="463">
        <f t="shared" si="150"/>
        <v>0.33174879978160693</v>
      </c>
      <c r="AF199" s="463">
        <f t="shared" si="127"/>
        <v>0.45600000000000002</v>
      </c>
      <c r="AG199" s="463">
        <f t="shared" si="151"/>
        <v>0.84373008863014276</v>
      </c>
      <c r="AH199" s="463">
        <f t="shared" si="152"/>
        <v>0</v>
      </c>
      <c r="AI199">
        <f t="shared" si="128"/>
        <v>0</v>
      </c>
      <c r="AJ199" s="464">
        <f t="shared" si="129"/>
        <v>0.4313844</v>
      </c>
      <c r="AK199">
        <f t="shared" si="133"/>
        <v>7.2000000000000008E-2</v>
      </c>
      <c r="AL199" s="464">
        <f t="shared" si="134"/>
        <v>0.98399999999999999</v>
      </c>
      <c r="AM199" s="464">
        <f t="shared" si="135"/>
        <v>0.82265384615384629</v>
      </c>
      <c r="AN199" s="464">
        <f t="shared" si="153"/>
        <v>1.056</v>
      </c>
      <c r="AO199" s="464">
        <f t="shared" si="154"/>
        <v>8.7027788702738675</v>
      </c>
      <c r="AP199" s="100">
        <f t="shared" si="130"/>
        <v>224.20000000000002</v>
      </c>
      <c r="AQ199" s="10">
        <f t="shared" si="155"/>
        <v>0.9626334262197821</v>
      </c>
      <c r="AR199" s="77">
        <f t="shared" si="156"/>
        <v>94.347916338484978</v>
      </c>
      <c r="AS199" s="77">
        <f t="shared" si="157"/>
        <v>42.186504431507139</v>
      </c>
      <c r="AT199" s="10"/>
      <c r="AU199">
        <f t="shared" si="158"/>
        <v>96.263342621978211</v>
      </c>
    </row>
    <row r="200" spans="7:47" x14ac:dyDescent="0.2">
      <c r="G200">
        <v>191</v>
      </c>
      <c r="H200">
        <f t="shared" si="120"/>
        <v>19.099999999999998</v>
      </c>
      <c r="I200" s="463">
        <f t="shared" si="136"/>
        <v>0.49707833333333334</v>
      </c>
      <c r="J200" s="464">
        <f t="shared" si="121"/>
        <v>8.0858075555555562</v>
      </c>
      <c r="K200" s="464">
        <f t="shared" si="131"/>
        <v>23.142903777777775</v>
      </c>
      <c r="L200" s="464">
        <f t="shared" si="137"/>
        <v>15.057096222222221</v>
      </c>
      <c r="M200" s="77">
        <f t="shared" si="122"/>
        <v>0</v>
      </c>
      <c r="N200" s="463">
        <f t="shared" si="138"/>
        <v>19.242098559810376</v>
      </c>
      <c r="O200" s="463">
        <f t="shared" si="139"/>
        <v>2.1731412716178937</v>
      </c>
      <c r="P200">
        <f t="shared" si="123"/>
        <v>0.5</v>
      </c>
      <c r="Q200" s="463">
        <f t="shared" si="132"/>
        <v>2.6731412716178937</v>
      </c>
      <c r="R200" s="9">
        <f t="shared" si="140"/>
        <v>2.3341715844077551</v>
      </c>
      <c r="S200" s="9">
        <f t="shared" si="141"/>
        <v>1.634507095636983E-2</v>
      </c>
      <c r="T200" s="9">
        <f t="shared" si="142"/>
        <v>1.634507095636983E-2</v>
      </c>
      <c r="U200" s="463">
        <f t="shared" si="143"/>
        <v>13.566407298657559</v>
      </c>
      <c r="V200" s="465">
        <f t="shared" si="144"/>
        <v>1.8404740699306907</v>
      </c>
      <c r="W200" s="463">
        <f t="shared" si="145"/>
        <v>1.8404740699306907</v>
      </c>
      <c r="X200" s="463">
        <f t="shared" si="146"/>
        <v>13.566407298657559</v>
      </c>
      <c r="Y200" s="463">
        <f t="shared" si="147"/>
        <v>0.33128533258752435</v>
      </c>
      <c r="Z200" s="463">
        <f t="shared" si="124"/>
        <v>1.4122849827470199</v>
      </c>
      <c r="AA200" s="463">
        <f t="shared" si="125"/>
        <v>2.9999999999999992E-2</v>
      </c>
      <c r="AB200" s="463">
        <f t="shared" si="126"/>
        <v>0</v>
      </c>
      <c r="AC200" s="463">
        <f t="shared" si="148"/>
        <v>1.8994203348022374</v>
      </c>
      <c r="AD200" s="463">
        <f t="shared" si="149"/>
        <v>13.645913307374757</v>
      </c>
      <c r="AE200" s="463">
        <f t="shared" si="150"/>
        <v>0.33517970998629742</v>
      </c>
      <c r="AF200" s="463">
        <f t="shared" si="127"/>
        <v>0.45839999999999997</v>
      </c>
      <c r="AG200" s="463">
        <f t="shared" si="151"/>
        <v>0.8506005169000479</v>
      </c>
      <c r="AH200" s="463">
        <f t="shared" si="152"/>
        <v>0</v>
      </c>
      <c r="AI200">
        <f t="shared" si="128"/>
        <v>0</v>
      </c>
      <c r="AJ200" s="464">
        <f t="shared" si="129"/>
        <v>0.43138115999999999</v>
      </c>
      <c r="AK200">
        <f t="shared" si="133"/>
        <v>7.2000000000000008E-2</v>
      </c>
      <c r="AL200" s="464">
        <f t="shared" si="134"/>
        <v>0.98399999999999999</v>
      </c>
      <c r="AM200" s="464">
        <f t="shared" si="135"/>
        <v>0.82265384615384629</v>
      </c>
      <c r="AN200" s="464">
        <f t="shared" si="153"/>
        <v>1.056</v>
      </c>
      <c r="AO200" s="464">
        <f t="shared" si="154"/>
        <v>8.7673624242072403</v>
      </c>
      <c r="AP200" s="100">
        <f t="shared" si="130"/>
        <v>225.38</v>
      </c>
      <c r="AQ200" s="10">
        <f t="shared" si="155"/>
        <v>0.96255621958139626</v>
      </c>
      <c r="AR200" s="77">
        <f t="shared" si="156"/>
        <v>94.971016740111864</v>
      </c>
      <c r="AS200" s="77">
        <f t="shared" si="157"/>
        <v>42.530025845002392</v>
      </c>
      <c r="AT200" s="10"/>
      <c r="AU200">
        <f t="shared" si="158"/>
        <v>96.255621958139628</v>
      </c>
    </row>
    <row r="201" spans="7:47" x14ac:dyDescent="0.2">
      <c r="G201">
        <v>192</v>
      </c>
      <c r="H201">
        <f t="shared" ref="H201:H209" si="159">Iout*(G201/200)</f>
        <v>19.2</v>
      </c>
      <c r="I201" s="463">
        <f t="shared" si="136"/>
        <v>0.49710666666666675</v>
      </c>
      <c r="J201" s="464">
        <f t="shared" ref="J201:J209" si="160">(Vin-Vout)*I201/(Fsw*Lout2)</f>
        <v>8.0862684444444444</v>
      </c>
      <c r="K201" s="464">
        <f t="shared" si="131"/>
        <v>23.243134222222221</v>
      </c>
      <c r="L201" s="464">
        <f t="shared" si="137"/>
        <v>15.156865777777778</v>
      </c>
      <c r="M201" s="77">
        <f t="shared" ref="M201:M209" si="161">IF(MIN(Vin, -L201/(CossTop+CossBot)*0.00000002)&lt;0, 0, MIN(Vin, -L201/(CossTop+CossBot)*0.00000002))</f>
        <v>0</v>
      </c>
      <c r="N201" s="463">
        <f t="shared" si="138"/>
        <v>19.341379943348617</v>
      </c>
      <c r="O201" s="463">
        <f t="shared" si="139"/>
        <v>2.1995804049510141</v>
      </c>
      <c r="P201">
        <f t="shared" ref="P201:P209" si="162">Core_Loss</f>
        <v>0.5</v>
      </c>
      <c r="Q201" s="463">
        <f t="shared" si="132"/>
        <v>2.6995804049510141</v>
      </c>
      <c r="R201" s="9">
        <f t="shared" si="140"/>
        <v>2.3343046315697884</v>
      </c>
      <c r="S201" s="9">
        <f t="shared" si="141"/>
        <v>1.6346934338904499E-2</v>
      </c>
      <c r="T201" s="9">
        <f t="shared" si="142"/>
        <v>1.6346934338904499E-2</v>
      </c>
      <c r="U201" s="463">
        <f t="shared" si="143"/>
        <v>13.63679305945783</v>
      </c>
      <c r="V201" s="465">
        <f t="shared" si="144"/>
        <v>1.8596212494647726</v>
      </c>
      <c r="W201" s="463">
        <f t="shared" si="145"/>
        <v>1.8596212494647726</v>
      </c>
      <c r="X201" s="463">
        <f t="shared" si="146"/>
        <v>13.63679305945783</v>
      </c>
      <c r="Y201" s="463">
        <f t="shared" si="147"/>
        <v>0.33473182490365905</v>
      </c>
      <c r="Z201" s="463">
        <f t="shared" ref="Z201:Z209" si="163">IF(L201&lt;0, (Vin*K201*Tf/2)*Fsw, (Vin*L201*Tr/2+Vin*K201*Tf/2)*Fsw)</f>
        <v>1.4191993098871569</v>
      </c>
      <c r="AA201" s="463">
        <f t="shared" ref="AA201:AA209" si="164">(0.5*CossTop*(Vin-M201)^2-0.5*CossBot*(Vin-M201)^2+(QossBot*(Vin-M201)/Vin)*Vin)*Fsw</f>
        <v>2.9999999999999992E-2</v>
      </c>
      <c r="AB201" s="463">
        <f t="shared" ref="AB201:AB209" si="165">IF(L201&gt;0,0,-L201*VsdTop*Deadtime*Fsw)</f>
        <v>0</v>
      </c>
      <c r="AC201" s="463">
        <f t="shared" si="148"/>
        <v>1.9119277475983216</v>
      </c>
      <c r="AD201" s="463">
        <f t="shared" si="149"/>
        <v>13.715934279752542</v>
      </c>
      <c r="AE201" s="463">
        <f t="shared" si="150"/>
        <v>0.33862833569968359</v>
      </c>
      <c r="AF201" s="463">
        <f t="shared" ref="AF201:AF209" si="166">IF(L201&lt;0, Deadtime*Fsw*IF(VfdSky&gt;0,0,VsdBot)*K201, Deadtime*Fsw*IF(VfdSky&gt;0,0,VsdBot)*(K201+L201))</f>
        <v>0.46079999999999999</v>
      </c>
      <c r="AG201" s="463">
        <f t="shared" si="151"/>
        <v>0.85750332013021302</v>
      </c>
      <c r="AH201" s="463">
        <f t="shared" si="152"/>
        <v>0</v>
      </c>
      <c r="AI201">
        <f t="shared" ref="AI201:AI209" si="167">2*Deadtime*Fsw*IF(VfdSky&gt;0,VfdSky,0)*H201</f>
        <v>0</v>
      </c>
      <c r="AJ201" s="464">
        <f t="shared" ref="AJ201:AJ209" si="168">IF(QrrSky&gt;0,QrrSky,QrrBot)*Fsw*(Vin-H201*RdsonTop)</f>
        <v>0.43137791999999997</v>
      </c>
      <c r="AK201">
        <f t="shared" si="133"/>
        <v>7.2000000000000008E-2</v>
      </c>
      <c r="AL201" s="464">
        <f t="shared" si="134"/>
        <v>0.98399999999999999</v>
      </c>
      <c r="AM201" s="464">
        <f t="shared" si="135"/>
        <v>0.82265384615384629</v>
      </c>
      <c r="AN201" s="464">
        <f t="shared" si="153"/>
        <v>1.056</v>
      </c>
      <c r="AO201" s="464">
        <f t="shared" si="154"/>
        <v>8.8323575764832256</v>
      </c>
      <c r="AP201" s="100">
        <f t="shared" ref="AP201:AP209" si="169">Vout*H201</f>
        <v>226.56</v>
      </c>
      <c r="AQ201" s="10">
        <f t="shared" si="155"/>
        <v>0.96247814641300145</v>
      </c>
      <c r="AR201" s="77">
        <f t="shared" si="156"/>
        <v>95.596387379916081</v>
      </c>
      <c r="AS201" s="77">
        <f t="shared" si="157"/>
        <v>42.875166006510653</v>
      </c>
      <c r="AT201" s="10"/>
      <c r="AU201">
        <f t="shared" si="158"/>
        <v>96.247814641300138</v>
      </c>
    </row>
    <row r="202" spans="7:47" x14ac:dyDescent="0.2">
      <c r="G202">
        <v>193</v>
      </c>
      <c r="H202">
        <f t="shared" si="159"/>
        <v>19.3</v>
      </c>
      <c r="I202" s="463">
        <f t="shared" si="136"/>
        <v>0.49713500000000005</v>
      </c>
      <c r="J202" s="464">
        <f t="shared" si="160"/>
        <v>8.0867293333333325</v>
      </c>
      <c r="K202" s="464">
        <f t="shared" ref="K202:K209" si="170">H202+J202/2</f>
        <v>23.343364666666666</v>
      </c>
      <c r="L202" s="464">
        <f t="shared" si="137"/>
        <v>15.256635333333335</v>
      </c>
      <c r="M202" s="77">
        <f t="shared" si="161"/>
        <v>0</v>
      </c>
      <c r="N202" s="463">
        <f t="shared" si="138"/>
        <v>19.440668694154603</v>
      </c>
      <c r="O202" s="463">
        <f t="shared" si="139"/>
        <v>2.2262537811536687</v>
      </c>
      <c r="P202">
        <f t="shared" si="162"/>
        <v>0.5</v>
      </c>
      <c r="Q202" s="463">
        <f t="shared" ref="Q202:Q209" si="171">O202+P202</f>
        <v>2.7262537811536687</v>
      </c>
      <c r="R202" s="9">
        <f t="shared" si="140"/>
        <v>2.3344376787318213</v>
      </c>
      <c r="S202" s="9">
        <f t="shared" si="141"/>
        <v>1.6348797827648445E-2</v>
      </c>
      <c r="T202" s="9">
        <f t="shared" si="142"/>
        <v>1.6348797827648445E-2</v>
      </c>
      <c r="U202" s="463">
        <f t="shared" si="143"/>
        <v>13.707187993385663</v>
      </c>
      <c r="V202" s="465">
        <f t="shared" si="144"/>
        <v>1.8788700268601608</v>
      </c>
      <c r="W202" s="463">
        <f t="shared" si="145"/>
        <v>1.8788700268601608</v>
      </c>
      <c r="X202" s="463">
        <f t="shared" si="146"/>
        <v>13.707187993385663</v>
      </c>
      <c r="Y202" s="463">
        <f t="shared" si="147"/>
        <v>0.33819660483482894</v>
      </c>
      <c r="Z202" s="463">
        <f t="shared" si="163"/>
        <v>1.426113637027294</v>
      </c>
      <c r="AA202" s="463">
        <f t="shared" si="164"/>
        <v>2.9999999999999992E-2</v>
      </c>
      <c r="AB202" s="463">
        <f t="shared" si="165"/>
        <v>0</v>
      </c>
      <c r="AC202" s="463">
        <f t="shared" si="148"/>
        <v>1.9244808175769812</v>
      </c>
      <c r="AD202" s="463">
        <f t="shared" si="149"/>
        <v>13.785956498911013</v>
      </c>
      <c r="AE202" s="463">
        <f t="shared" si="150"/>
        <v>0.34209467386176023</v>
      </c>
      <c r="AF202" s="463">
        <f t="shared" si="166"/>
        <v>0.4632</v>
      </c>
      <c r="AG202" s="463">
        <f t="shared" si="151"/>
        <v>0.86443864513816904</v>
      </c>
      <c r="AH202" s="463">
        <f t="shared" si="152"/>
        <v>0</v>
      </c>
      <c r="AI202">
        <f t="shared" si="167"/>
        <v>0</v>
      </c>
      <c r="AJ202" s="464">
        <f t="shared" si="168"/>
        <v>0.43137467999999995</v>
      </c>
      <c r="AK202">
        <f t="shared" ref="AK202:AK209" si="172">Iq*Vin</f>
        <v>7.2000000000000008E-2</v>
      </c>
      <c r="AL202" s="464">
        <f t="shared" ref="AL202:AL209" si="173">Vin*(QgTop+QgBot)*Fsw</f>
        <v>0.98399999999999999</v>
      </c>
      <c r="AM202" s="464">
        <f t="shared" ref="AM202:AM209" si="174">(Vin-Vdd)*Fsw*(QgTop+QgBot)+(RdsonDRT+RdsonDRT2)*Fsw*QgTop*Vdd/(RdsonDRT+2*RGateTop+RdsonDRT2)+(RdsonDRB+RdsonDRB2)*Fsw*QgBot*Vdd/(RdsonDRB+2*RGateBot+RdsonDRB2)</f>
        <v>0.82265384615384629</v>
      </c>
      <c r="AN202" s="464">
        <f t="shared" si="153"/>
        <v>1.056</v>
      </c>
      <c r="AO202" s="464">
        <f t="shared" si="154"/>
        <v>8.897766748556629</v>
      </c>
      <c r="AP202" s="100">
        <f t="shared" si="169"/>
        <v>227.74</v>
      </c>
      <c r="AQ202" s="10">
        <f t="shared" si="155"/>
        <v>0.96239921095092529</v>
      </c>
      <c r="AR202" s="77">
        <f t="shared" si="156"/>
        <v>96.224040878849053</v>
      </c>
      <c r="AS202" s="77">
        <f t="shared" si="157"/>
        <v>43.221932256908453</v>
      </c>
      <c r="AT202" s="10"/>
      <c r="AU202">
        <f t="shared" si="158"/>
        <v>96.239921095092527</v>
      </c>
    </row>
    <row r="203" spans="7:47" x14ac:dyDescent="0.2">
      <c r="G203">
        <v>194</v>
      </c>
      <c r="H203">
        <f t="shared" si="159"/>
        <v>19.399999999999999</v>
      </c>
      <c r="I203" s="463">
        <f t="shared" si="136"/>
        <v>0.49716333333333335</v>
      </c>
      <c r="J203" s="464">
        <f t="shared" si="160"/>
        <v>8.0871902222222225</v>
      </c>
      <c r="K203" s="464">
        <f t="shared" si="170"/>
        <v>23.443595111111108</v>
      </c>
      <c r="L203" s="464">
        <f t="shared" si="137"/>
        <v>15.356404888888887</v>
      </c>
      <c r="M203" s="77">
        <f t="shared" si="161"/>
        <v>0</v>
      </c>
      <c r="N203" s="463">
        <f t="shared" si="138"/>
        <v>19.539964699922066</v>
      </c>
      <c r="O203" s="463">
        <f t="shared" si="139"/>
        <v>2.253163433257598</v>
      </c>
      <c r="P203">
        <f t="shared" si="162"/>
        <v>0.5</v>
      </c>
      <c r="Q203" s="463">
        <f t="shared" si="171"/>
        <v>2.753163433257598</v>
      </c>
      <c r="R203" s="9">
        <f t="shared" si="140"/>
        <v>2.3345707258938551</v>
      </c>
      <c r="S203" s="9">
        <f t="shared" si="141"/>
        <v>1.6350661422601685E-2</v>
      </c>
      <c r="T203" s="9">
        <f t="shared" si="142"/>
        <v>1.6350661422601685E-2</v>
      </c>
      <c r="U203" s="463">
        <f t="shared" si="143"/>
        <v>13.777592021528596</v>
      </c>
      <c r="V203" s="465">
        <f t="shared" si="144"/>
        <v>1.8982204191168841</v>
      </c>
      <c r="W203" s="463">
        <f t="shared" si="145"/>
        <v>1.8982204191168841</v>
      </c>
      <c r="X203" s="463">
        <f t="shared" si="146"/>
        <v>13.777592021528596</v>
      </c>
      <c r="Y203" s="463">
        <f t="shared" si="147"/>
        <v>0.34167967544103917</v>
      </c>
      <c r="Z203" s="463">
        <f t="shared" si="163"/>
        <v>1.4330279641674308</v>
      </c>
      <c r="AA203" s="463">
        <f t="shared" si="164"/>
        <v>2.9999999999999992E-2</v>
      </c>
      <c r="AB203" s="463">
        <f t="shared" si="165"/>
        <v>0</v>
      </c>
      <c r="AC203" s="463">
        <f t="shared" si="148"/>
        <v>1.9370797990146111</v>
      </c>
      <c r="AD203" s="463">
        <f t="shared" si="149"/>
        <v>13.855979884602606</v>
      </c>
      <c r="AE203" s="463">
        <f t="shared" si="150"/>
        <v>0.34557872141252166</v>
      </c>
      <c r="AF203" s="463">
        <f t="shared" si="166"/>
        <v>0.46559999999999996</v>
      </c>
      <c r="AG203" s="463">
        <f t="shared" si="151"/>
        <v>0.87140663990206946</v>
      </c>
      <c r="AH203" s="463">
        <f t="shared" si="152"/>
        <v>0</v>
      </c>
      <c r="AI203">
        <f t="shared" si="167"/>
        <v>0</v>
      </c>
      <c r="AJ203" s="464">
        <f t="shared" si="168"/>
        <v>0.43137143999999999</v>
      </c>
      <c r="AK203">
        <f t="shared" si="172"/>
        <v>7.2000000000000008E-2</v>
      </c>
      <c r="AL203" s="464">
        <f t="shared" si="173"/>
        <v>0.98399999999999999</v>
      </c>
      <c r="AM203" s="464">
        <f t="shared" si="174"/>
        <v>0.82265384615384629</v>
      </c>
      <c r="AN203" s="464">
        <f t="shared" si="153"/>
        <v>1.056</v>
      </c>
      <c r="AO203" s="464">
        <f t="shared" si="154"/>
        <v>8.9635923927137657</v>
      </c>
      <c r="AP203" s="100">
        <f t="shared" si="169"/>
        <v>228.92</v>
      </c>
      <c r="AQ203" s="10">
        <f t="shared" si="155"/>
        <v>0.96231941723027248</v>
      </c>
      <c r="AR203" s="77">
        <f t="shared" si="156"/>
        <v>96.853989950730551</v>
      </c>
      <c r="AS203" s="77">
        <f t="shared" si="157"/>
        <v>43.570331995103473</v>
      </c>
      <c r="AT203" s="10"/>
      <c r="AU203">
        <f t="shared" si="158"/>
        <v>96.231941723027248</v>
      </c>
    </row>
    <row r="204" spans="7:47" x14ac:dyDescent="0.2">
      <c r="G204">
        <v>195</v>
      </c>
      <c r="H204">
        <f t="shared" si="159"/>
        <v>19.5</v>
      </c>
      <c r="I204" s="463">
        <f t="shared" si="136"/>
        <v>0.4971916666666667</v>
      </c>
      <c r="J204" s="464">
        <f t="shared" si="160"/>
        <v>8.0876511111111107</v>
      </c>
      <c r="K204" s="464">
        <f t="shared" si="170"/>
        <v>23.543825555555557</v>
      </c>
      <c r="L204" s="464">
        <f t="shared" si="137"/>
        <v>15.456174444444445</v>
      </c>
      <c r="M204" s="77">
        <f t="shared" si="161"/>
        <v>0</v>
      </c>
      <c r="N204" s="463">
        <f t="shared" si="138"/>
        <v>19.639267850607911</v>
      </c>
      <c r="O204" s="463">
        <f t="shared" si="139"/>
        <v>2.2803114225536616</v>
      </c>
      <c r="P204">
        <f t="shared" si="162"/>
        <v>0.5</v>
      </c>
      <c r="Q204" s="463">
        <f t="shared" si="171"/>
        <v>2.7803114225536616</v>
      </c>
      <c r="R204" s="9">
        <f t="shared" si="140"/>
        <v>2.3347037730558879</v>
      </c>
      <c r="S204" s="9">
        <f t="shared" si="141"/>
        <v>1.63525251237642E-2</v>
      </c>
      <c r="T204" s="9">
        <f t="shared" si="142"/>
        <v>1.63525251237642E-2</v>
      </c>
      <c r="U204" s="463">
        <f t="shared" si="143"/>
        <v>13.848005066560948</v>
      </c>
      <c r="V204" s="465">
        <f t="shared" si="144"/>
        <v>1.9176724432349768</v>
      </c>
      <c r="W204" s="463">
        <f t="shared" si="145"/>
        <v>1.9176724432349768</v>
      </c>
      <c r="X204" s="463">
        <f t="shared" si="146"/>
        <v>13.848005066560948</v>
      </c>
      <c r="Y204" s="463">
        <f t="shared" si="147"/>
        <v>0.34518103978229581</v>
      </c>
      <c r="Z204" s="463">
        <f t="shared" si="163"/>
        <v>1.4399422913075681</v>
      </c>
      <c r="AA204" s="463">
        <f t="shared" si="164"/>
        <v>2.9999999999999992E-2</v>
      </c>
      <c r="AB204" s="463">
        <f t="shared" si="165"/>
        <v>0</v>
      </c>
      <c r="AC204" s="463">
        <f t="shared" si="148"/>
        <v>1.9497249480621812</v>
      </c>
      <c r="AD204" s="463">
        <f t="shared" si="149"/>
        <v>13.926004358193481</v>
      </c>
      <c r="AE204" s="463">
        <f t="shared" si="150"/>
        <v>0.34908047529196284</v>
      </c>
      <c r="AF204" s="463">
        <f t="shared" si="166"/>
        <v>0.46800000000000003</v>
      </c>
      <c r="AG204" s="463">
        <f t="shared" si="151"/>
        <v>0.87840745357043715</v>
      </c>
      <c r="AH204" s="463">
        <f t="shared" si="152"/>
        <v>0</v>
      </c>
      <c r="AI204">
        <f t="shared" si="167"/>
        <v>0</v>
      </c>
      <c r="AJ204" s="464">
        <f t="shared" si="168"/>
        <v>0.43136819999999998</v>
      </c>
      <c r="AK204">
        <f t="shared" si="172"/>
        <v>7.2000000000000008E-2</v>
      </c>
      <c r="AL204" s="464">
        <f t="shared" si="173"/>
        <v>0.98399999999999999</v>
      </c>
      <c r="AM204" s="464">
        <f t="shared" si="174"/>
        <v>0.82265384615384629</v>
      </c>
      <c r="AN204" s="464">
        <f t="shared" si="153"/>
        <v>1.056</v>
      </c>
      <c r="AO204" s="464">
        <f t="shared" si="154"/>
        <v>9.0298369925450217</v>
      </c>
      <c r="AP204" s="100">
        <f t="shared" si="169"/>
        <v>230.10000000000002</v>
      </c>
      <c r="AQ204" s="10">
        <f t="shared" si="155"/>
        <v>0.96223876908833195</v>
      </c>
      <c r="AR204" s="77">
        <f t="shared" si="156"/>
        <v>97.486247403109061</v>
      </c>
      <c r="AS204" s="77">
        <f t="shared" si="157"/>
        <v>43.920372678521858</v>
      </c>
      <c r="AT204" s="10"/>
      <c r="AU204">
        <f t="shared" si="158"/>
        <v>96.223876908833191</v>
      </c>
    </row>
    <row r="205" spans="7:47" x14ac:dyDescent="0.2">
      <c r="G205">
        <v>196</v>
      </c>
      <c r="H205">
        <f t="shared" si="159"/>
        <v>19.600000000000001</v>
      </c>
      <c r="I205" s="463">
        <f t="shared" si="136"/>
        <v>0.49722000000000005</v>
      </c>
      <c r="J205" s="464">
        <f t="shared" si="160"/>
        <v>8.0881120000000006</v>
      </c>
      <c r="K205" s="464">
        <f t="shared" si="170"/>
        <v>23.644056000000003</v>
      </c>
      <c r="L205" s="464">
        <f t="shared" si="137"/>
        <v>15.555944</v>
      </c>
      <c r="M205" s="77">
        <f t="shared" si="161"/>
        <v>0</v>
      </c>
      <c r="N205" s="463">
        <f t="shared" si="138"/>
        <v>19.738578038375646</v>
      </c>
      <c r="O205" s="463">
        <f t="shared" si="139"/>
        <v>2.3076998390463181</v>
      </c>
      <c r="P205">
        <f t="shared" si="162"/>
        <v>0.5</v>
      </c>
      <c r="Q205" s="463">
        <f t="shared" si="171"/>
        <v>2.8076998390463181</v>
      </c>
      <c r="R205" s="9">
        <f t="shared" si="140"/>
        <v>2.3348368202179217</v>
      </c>
      <c r="S205" s="9">
        <f t="shared" si="141"/>
        <v>1.6354388931136006E-2</v>
      </c>
      <c r="T205" s="9">
        <f t="shared" si="142"/>
        <v>1.6354388931136006E-2</v>
      </c>
      <c r="U205" s="463">
        <f t="shared" si="143"/>
        <v>13.918427052704143</v>
      </c>
      <c r="V205" s="465">
        <f t="shared" si="144"/>
        <v>1.9372261162144653</v>
      </c>
      <c r="W205" s="463">
        <f t="shared" si="145"/>
        <v>1.9372261162144653</v>
      </c>
      <c r="X205" s="463">
        <f t="shared" si="146"/>
        <v>13.918427052704143</v>
      </c>
      <c r="Y205" s="463">
        <f t="shared" si="147"/>
        <v>0.34870070091860372</v>
      </c>
      <c r="Z205" s="463">
        <f t="shared" si="163"/>
        <v>1.4468566184477052</v>
      </c>
      <c r="AA205" s="463">
        <f t="shared" si="164"/>
        <v>2.9999999999999992E-2</v>
      </c>
      <c r="AB205" s="463">
        <f t="shared" si="165"/>
        <v>0</v>
      </c>
      <c r="AC205" s="463">
        <f t="shared" si="148"/>
        <v>1.962416522762624</v>
      </c>
      <c r="AD205" s="463">
        <f t="shared" si="149"/>
        <v>13.996029842623187</v>
      </c>
      <c r="AE205" s="463">
        <f t="shared" si="150"/>
        <v>0.35259993244007787</v>
      </c>
      <c r="AF205" s="463">
        <f t="shared" si="166"/>
        <v>0.47040000000000004</v>
      </c>
      <c r="AG205" s="463">
        <f t="shared" si="151"/>
        <v>0.88544123647201622</v>
      </c>
      <c r="AH205" s="463">
        <f t="shared" si="152"/>
        <v>0</v>
      </c>
      <c r="AI205">
        <f t="shared" si="167"/>
        <v>0</v>
      </c>
      <c r="AJ205" s="464">
        <f t="shared" si="168"/>
        <v>0.43136495999999996</v>
      </c>
      <c r="AK205">
        <f t="shared" si="172"/>
        <v>7.2000000000000008E-2</v>
      </c>
      <c r="AL205" s="464">
        <f t="shared" si="173"/>
        <v>0.98399999999999999</v>
      </c>
      <c r="AM205" s="464">
        <f t="shared" si="174"/>
        <v>0.82265384615384629</v>
      </c>
      <c r="AN205" s="464">
        <f t="shared" si="153"/>
        <v>1.056</v>
      </c>
      <c r="AO205" s="464">
        <f t="shared" si="154"/>
        <v>9.0965030634265602</v>
      </c>
      <c r="AP205" s="100">
        <f t="shared" si="169"/>
        <v>231.28000000000003</v>
      </c>
      <c r="AQ205" s="10">
        <f t="shared" si="155"/>
        <v>0.96215727016784869</v>
      </c>
      <c r="AR205" s="77">
        <f t="shared" si="156"/>
        <v>98.120826138131207</v>
      </c>
      <c r="AS205" s="77">
        <f t="shared" si="157"/>
        <v>44.272061823600808</v>
      </c>
      <c r="AT205" s="10"/>
      <c r="AU205">
        <f t="shared" si="158"/>
        <v>96.215727016784868</v>
      </c>
    </row>
    <row r="206" spans="7:47" x14ac:dyDescent="0.2">
      <c r="G206">
        <v>197</v>
      </c>
      <c r="H206">
        <f t="shared" si="159"/>
        <v>19.7</v>
      </c>
      <c r="I206" s="463">
        <f t="shared" si="136"/>
        <v>0.49724833333333335</v>
      </c>
      <c r="J206" s="464">
        <f t="shared" si="160"/>
        <v>8.0885728888888888</v>
      </c>
      <c r="K206" s="464">
        <f t="shared" si="170"/>
        <v>23.744286444444445</v>
      </c>
      <c r="L206" s="464">
        <f t="shared" si="137"/>
        <v>15.655713555555554</v>
      </c>
      <c r="M206" s="77">
        <f t="shared" si="161"/>
        <v>0</v>
      </c>
      <c r="N206" s="463">
        <f t="shared" si="138"/>
        <v>19.83789515754059</v>
      </c>
      <c r="O206" s="463">
        <f t="shared" si="139"/>
        <v>2.3353308019172503</v>
      </c>
      <c r="P206">
        <f t="shared" si="162"/>
        <v>0.5</v>
      </c>
      <c r="Q206" s="463">
        <f t="shared" si="171"/>
        <v>2.8353308019172503</v>
      </c>
      <c r="R206" s="9">
        <f t="shared" si="140"/>
        <v>2.3349698673799546</v>
      </c>
      <c r="S206" s="9">
        <f t="shared" si="141"/>
        <v>1.635625284471709E-2</v>
      </c>
      <c r="T206" s="9">
        <f t="shared" si="142"/>
        <v>1.635625284471709E-2</v>
      </c>
      <c r="U206" s="463">
        <f t="shared" si="143"/>
        <v>13.988857905688301</v>
      </c>
      <c r="V206" s="465">
        <f t="shared" si="144"/>
        <v>1.9568814550553808</v>
      </c>
      <c r="W206" s="463">
        <f t="shared" si="145"/>
        <v>1.9568814550553808</v>
      </c>
      <c r="X206" s="463">
        <f t="shared" si="146"/>
        <v>13.988857905688301</v>
      </c>
      <c r="Y206" s="463">
        <f t="shared" si="147"/>
        <v>0.3522386619099685</v>
      </c>
      <c r="Z206" s="463">
        <f t="shared" si="163"/>
        <v>1.4537709455878423</v>
      </c>
      <c r="AA206" s="463">
        <f t="shared" si="164"/>
        <v>2.9999999999999992E-2</v>
      </c>
      <c r="AB206" s="463">
        <f t="shared" si="165"/>
        <v>0</v>
      </c>
      <c r="AC206" s="463">
        <f t="shared" si="148"/>
        <v>1.9751547830684302</v>
      </c>
      <c r="AD206" s="463">
        <f t="shared" si="149"/>
        <v>14.066056262365592</v>
      </c>
      <c r="AE206" s="463">
        <f t="shared" si="150"/>
        <v>0.35613708979686171</v>
      </c>
      <c r="AF206" s="463">
        <f t="shared" si="166"/>
        <v>0.4728</v>
      </c>
      <c r="AG206" s="463">
        <f t="shared" si="151"/>
        <v>0.89250814012573987</v>
      </c>
      <c r="AH206" s="463">
        <f t="shared" si="152"/>
        <v>0</v>
      </c>
      <c r="AI206">
        <f t="shared" si="167"/>
        <v>0</v>
      </c>
      <c r="AJ206" s="464">
        <f t="shared" si="168"/>
        <v>0.43136171999999995</v>
      </c>
      <c r="AK206">
        <f t="shared" si="172"/>
        <v>7.2000000000000008E-2</v>
      </c>
      <c r="AL206" s="464">
        <f t="shared" si="173"/>
        <v>0.98399999999999999</v>
      </c>
      <c r="AM206" s="464">
        <f t="shared" si="174"/>
        <v>0.82265384615384629</v>
      </c>
      <c r="AN206" s="464">
        <f t="shared" si="153"/>
        <v>1.056</v>
      </c>
      <c r="AO206" s="464">
        <f t="shared" si="154"/>
        <v>9.1635931530115187</v>
      </c>
      <c r="AP206" s="100">
        <f t="shared" si="169"/>
        <v>232.46</v>
      </c>
      <c r="AQ206" s="10">
        <f t="shared" si="155"/>
        <v>0.96207492392016303</v>
      </c>
      <c r="AR206" s="77">
        <f t="shared" si="156"/>
        <v>98.757739153421511</v>
      </c>
      <c r="AS206" s="77">
        <f t="shared" si="157"/>
        <v>44.625407006286991</v>
      </c>
      <c r="AT206" s="10"/>
      <c r="AU206">
        <f t="shared" si="158"/>
        <v>96.207492392016306</v>
      </c>
    </row>
    <row r="207" spans="7:47" x14ac:dyDescent="0.2">
      <c r="G207">
        <v>198</v>
      </c>
      <c r="H207">
        <f t="shared" si="159"/>
        <v>19.8</v>
      </c>
      <c r="I207" s="463">
        <f t="shared" si="136"/>
        <v>0.49727666666666676</v>
      </c>
      <c r="J207" s="464">
        <f t="shared" si="160"/>
        <v>8.0890337777777788</v>
      </c>
      <c r="K207" s="464">
        <f t="shared" si="170"/>
        <v>23.84451688888889</v>
      </c>
      <c r="L207" s="464">
        <f t="shared" si="137"/>
        <v>15.755483111111111</v>
      </c>
      <c r="M207" s="77">
        <f t="shared" si="161"/>
        <v>0</v>
      </c>
      <c r="N207" s="463">
        <f t="shared" si="138"/>
        <v>19.937219104516622</v>
      </c>
      <c r="O207" s="463">
        <f t="shared" si="139"/>
        <v>2.363206459998286</v>
      </c>
      <c r="P207">
        <f t="shared" si="162"/>
        <v>0.5</v>
      </c>
      <c r="Q207" s="463">
        <f t="shared" si="171"/>
        <v>2.863206459998286</v>
      </c>
      <c r="R207" s="9">
        <f t="shared" si="140"/>
        <v>2.3351029145419879</v>
      </c>
      <c r="S207" s="9">
        <f t="shared" si="141"/>
        <v>1.6358116864507461E-2</v>
      </c>
      <c r="T207" s="9">
        <f t="shared" si="142"/>
        <v>1.6358116864507461E-2</v>
      </c>
      <c r="U207" s="463">
        <f t="shared" si="143"/>
        <v>14.059297552714909</v>
      </c>
      <c r="V207" s="465">
        <f t="shared" si="144"/>
        <v>1.9766384767577543</v>
      </c>
      <c r="W207" s="463">
        <f t="shared" si="145"/>
        <v>1.9766384767577543</v>
      </c>
      <c r="X207" s="463">
        <f t="shared" si="146"/>
        <v>14.059297552714909</v>
      </c>
      <c r="Y207" s="463">
        <f t="shared" si="147"/>
        <v>0.35579492581639577</v>
      </c>
      <c r="Z207" s="463">
        <f t="shared" si="163"/>
        <v>1.4606852727279793</v>
      </c>
      <c r="AA207" s="463">
        <f t="shared" si="164"/>
        <v>2.9999999999999992E-2</v>
      </c>
      <c r="AB207" s="463">
        <f t="shared" si="165"/>
        <v>0</v>
      </c>
      <c r="AC207" s="463">
        <f t="shared" si="148"/>
        <v>1.9879399908594304</v>
      </c>
      <c r="AD207" s="463">
        <f t="shared" si="149"/>
        <v>14.136083543390903</v>
      </c>
      <c r="AE207" s="463">
        <f t="shared" si="150"/>
        <v>0.35969194430230883</v>
      </c>
      <c r="AF207" s="463">
        <f t="shared" si="166"/>
        <v>0.47520000000000001</v>
      </c>
      <c r="AG207" s="463">
        <f t="shared" si="151"/>
        <v>0.8996083172508027</v>
      </c>
      <c r="AH207" s="463">
        <f t="shared" si="152"/>
        <v>0</v>
      </c>
      <c r="AI207">
        <f t="shared" si="167"/>
        <v>0</v>
      </c>
      <c r="AJ207" s="464">
        <f t="shared" si="168"/>
        <v>0.43135847999999993</v>
      </c>
      <c r="AK207">
        <f t="shared" si="172"/>
        <v>7.2000000000000008E-2</v>
      </c>
      <c r="AL207" s="464">
        <f t="shared" si="173"/>
        <v>0.98399999999999999</v>
      </c>
      <c r="AM207" s="464">
        <f t="shared" si="174"/>
        <v>0.82265384615384629</v>
      </c>
      <c r="AN207" s="464">
        <f t="shared" si="153"/>
        <v>1.056</v>
      </c>
      <c r="AO207" s="464">
        <f t="shared" si="154"/>
        <v>9.2311098417307811</v>
      </c>
      <c r="AP207" s="100">
        <f t="shared" si="169"/>
        <v>233.64000000000001</v>
      </c>
      <c r="AQ207" s="10">
        <f t="shared" si="155"/>
        <v>0.96199173360822399</v>
      </c>
      <c r="AR207" s="77">
        <f t="shared" si="156"/>
        <v>99.396999542971514</v>
      </c>
      <c r="AS207" s="77">
        <f t="shared" si="157"/>
        <v>44.980415862540134</v>
      </c>
      <c r="AT207" s="10"/>
      <c r="AU207">
        <f t="shared" si="158"/>
        <v>96.1991733608224</v>
      </c>
    </row>
    <row r="208" spans="7:47" x14ac:dyDescent="0.2">
      <c r="G208">
        <v>199</v>
      </c>
      <c r="H208">
        <f t="shared" si="159"/>
        <v>19.899999999999999</v>
      </c>
      <c r="I208" s="463">
        <f t="shared" si="136"/>
        <v>0.49730500000000005</v>
      </c>
      <c r="J208" s="464">
        <f t="shared" si="160"/>
        <v>8.0894946666666669</v>
      </c>
      <c r="K208" s="464">
        <f t="shared" si="170"/>
        <v>23.944747333333332</v>
      </c>
      <c r="L208" s="464">
        <f t="shared" si="137"/>
        <v>15.855252666666665</v>
      </c>
      <c r="M208" s="77">
        <f t="shared" si="161"/>
        <v>0</v>
      </c>
      <c r="N208" s="463">
        <f t="shared" si="138"/>
        <v>20.036549777764524</v>
      </c>
      <c r="O208" s="463">
        <f t="shared" si="139"/>
        <v>2.3913289922538694</v>
      </c>
      <c r="P208">
        <f t="shared" si="162"/>
        <v>0.5</v>
      </c>
      <c r="Q208" s="463">
        <f t="shared" si="171"/>
        <v>2.8913289922538694</v>
      </c>
      <c r="R208" s="9">
        <f t="shared" si="140"/>
        <v>2.3352359617040213</v>
      </c>
      <c r="S208" s="9">
        <f t="shared" si="141"/>
        <v>1.6359980990507117E-2</v>
      </c>
      <c r="T208" s="9">
        <f t="shared" si="142"/>
        <v>1.6359980990507117E-2</v>
      </c>
      <c r="U208" s="463">
        <f t="shared" si="143"/>
        <v>14.129745922420591</v>
      </c>
      <c r="V208" s="465">
        <f t="shared" si="144"/>
        <v>1.9964971983216133</v>
      </c>
      <c r="W208" s="463">
        <f t="shared" si="145"/>
        <v>1.9964971983216133</v>
      </c>
      <c r="X208" s="463">
        <f t="shared" si="146"/>
        <v>14.129745922420591</v>
      </c>
      <c r="Y208" s="463">
        <f t="shared" si="147"/>
        <v>0.3593694956978904</v>
      </c>
      <c r="Z208" s="463">
        <f t="shared" si="163"/>
        <v>1.4675995998681162</v>
      </c>
      <c r="AA208" s="463">
        <f t="shared" si="164"/>
        <v>2.9999999999999992E-2</v>
      </c>
      <c r="AB208" s="463">
        <f t="shared" si="165"/>
        <v>0</v>
      </c>
      <c r="AC208" s="463">
        <f t="shared" si="148"/>
        <v>2.0007724099607782</v>
      </c>
      <c r="AD208" s="463">
        <f t="shared" si="149"/>
        <v>14.206111613128845</v>
      </c>
      <c r="AE208" s="463">
        <f t="shared" si="150"/>
        <v>0.3632644928964136</v>
      </c>
      <c r="AF208" s="463">
        <f t="shared" si="166"/>
        <v>0.47759999999999997</v>
      </c>
      <c r="AG208" s="463">
        <f t="shared" si="151"/>
        <v>0.90674192177685098</v>
      </c>
      <c r="AH208" s="463">
        <f t="shared" si="152"/>
        <v>0</v>
      </c>
      <c r="AI208">
        <f t="shared" si="167"/>
        <v>0</v>
      </c>
      <c r="AJ208" s="464">
        <f t="shared" si="168"/>
        <v>0.43135523999999997</v>
      </c>
      <c r="AK208">
        <f t="shared" si="172"/>
        <v>7.2000000000000008E-2</v>
      </c>
      <c r="AL208" s="464">
        <f t="shared" si="173"/>
        <v>0.98399999999999999</v>
      </c>
      <c r="AM208" s="464">
        <f t="shared" si="174"/>
        <v>0.82265384615384629</v>
      </c>
      <c r="AN208" s="464">
        <f t="shared" si="153"/>
        <v>1.056</v>
      </c>
      <c r="AO208" s="464">
        <f t="shared" si="154"/>
        <v>9.2990557433036187</v>
      </c>
      <c r="AP208" s="100">
        <f t="shared" si="169"/>
        <v>234.82</v>
      </c>
      <c r="AQ208" s="10">
        <f t="shared" si="155"/>
        <v>0.96190770230947564</v>
      </c>
      <c r="AR208" s="77">
        <f t="shared" si="156"/>
        <v>100.03862049803891</v>
      </c>
      <c r="AS208" s="77">
        <f t="shared" si="157"/>
        <v>45.33709608884255</v>
      </c>
      <c r="AT208" s="10"/>
      <c r="AU208">
        <f t="shared" si="158"/>
        <v>96.190770230947564</v>
      </c>
    </row>
    <row r="209" spans="7:47" x14ac:dyDescent="0.2">
      <c r="G209">
        <v>200</v>
      </c>
      <c r="H209">
        <f t="shared" si="159"/>
        <v>20</v>
      </c>
      <c r="I209" s="463">
        <f t="shared" si="136"/>
        <v>0.49733333333333335</v>
      </c>
      <c r="J209" s="464">
        <f t="shared" si="160"/>
        <v>8.0899555555555551</v>
      </c>
      <c r="K209" s="464">
        <f t="shared" si="170"/>
        <v>24.044977777777778</v>
      </c>
      <c r="L209" s="464">
        <f t="shared" si="137"/>
        <v>15.955022222222222</v>
      </c>
      <c r="M209" s="77">
        <f t="shared" si="161"/>
        <v>0</v>
      </c>
      <c r="N209" s="463">
        <f t="shared" si="138"/>
        <v>20.13588707774187</v>
      </c>
      <c r="O209" s="463">
        <f t="shared" si="139"/>
        <v>2.419700608273307</v>
      </c>
      <c r="P209">
        <f t="shared" si="162"/>
        <v>0.5</v>
      </c>
      <c r="Q209" s="463">
        <f t="shared" si="171"/>
        <v>2.919700608273307</v>
      </c>
      <c r="R209" s="9">
        <f t="shared" si="140"/>
        <v>2.3353690088660541</v>
      </c>
      <c r="S209" s="9">
        <f t="shared" si="141"/>
        <v>1.6361845222716047E-2</v>
      </c>
      <c r="T209" s="9">
        <f t="shared" si="142"/>
        <v>1.6361845222716047E-2</v>
      </c>
      <c r="U209" s="463">
        <f t="shared" si="143"/>
        <v>14.20020294484199</v>
      </c>
      <c r="V209" s="465">
        <f t="shared" si="144"/>
        <v>2.0164576367469915</v>
      </c>
      <c r="W209" s="463">
        <f t="shared" si="145"/>
        <v>2.0164576367469915</v>
      </c>
      <c r="X209" s="463">
        <f t="shared" si="146"/>
        <v>14.20020294484199</v>
      </c>
      <c r="Y209" s="463">
        <f t="shared" si="147"/>
        <v>0.36296237461445846</v>
      </c>
      <c r="Z209" s="463">
        <f t="shared" si="163"/>
        <v>1.4745139270082532</v>
      </c>
      <c r="AA209" s="463">
        <f t="shared" si="164"/>
        <v>2.9999999999999992E-2</v>
      </c>
      <c r="AB209" s="463">
        <f t="shared" si="165"/>
        <v>0</v>
      </c>
      <c r="AC209" s="463">
        <f t="shared" si="148"/>
        <v>2.0136523061611369</v>
      </c>
      <c r="AD209" s="463">
        <f t="shared" si="149"/>
        <v>14.276140400432915</v>
      </c>
      <c r="AE209" s="463">
        <f t="shared" si="150"/>
        <v>0.36685473251917111</v>
      </c>
      <c r="AF209" s="463">
        <f t="shared" si="166"/>
        <v>0.48</v>
      </c>
      <c r="AG209" s="463">
        <f t="shared" si="151"/>
        <v>0.91390910885428567</v>
      </c>
      <c r="AH209" s="463">
        <f t="shared" si="152"/>
        <v>0</v>
      </c>
      <c r="AI209">
        <f t="shared" si="167"/>
        <v>0</v>
      </c>
      <c r="AJ209" s="464">
        <f t="shared" si="168"/>
        <v>0.43135199999999996</v>
      </c>
      <c r="AK209">
        <f t="shared" si="172"/>
        <v>7.2000000000000008E-2</v>
      </c>
      <c r="AL209" s="464">
        <f t="shared" si="173"/>
        <v>0.98399999999999999</v>
      </c>
      <c r="AM209" s="464">
        <f t="shared" si="174"/>
        <v>0.82265384615384629</v>
      </c>
      <c r="AN209" s="464">
        <f t="shared" si="153"/>
        <v>1.056</v>
      </c>
      <c r="AO209" s="464">
        <f t="shared" si="154"/>
        <v>9.3674335052584361</v>
      </c>
      <c r="AP209" s="100">
        <f t="shared" si="169"/>
        <v>236</v>
      </c>
      <c r="AQ209" s="10">
        <f t="shared" si="155"/>
        <v>0.96182283291862491</v>
      </c>
      <c r="AR209" s="77">
        <f t="shared" si="156"/>
        <v>100.68261530805684</v>
      </c>
      <c r="AS209" s="77">
        <f t="shared" si="157"/>
        <v>45.695455442714284</v>
      </c>
      <c r="AT209" s="10"/>
      <c r="AU209">
        <f t="shared" si="158"/>
        <v>96.18228329186249</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2.75" x14ac:dyDescent="0.2"/>
  <cols>
    <col min="1" max="1" width="18.5703125" customWidth="1"/>
    <col min="2" max="2" width="9.28515625" customWidth="1"/>
    <col min="4" max="4" width="11.140625" customWidth="1"/>
  </cols>
  <sheetData>
    <row r="1" spans="1:5" x14ac:dyDescent="0.2">
      <c r="C1" t="s">
        <v>350</v>
      </c>
      <c r="D1" t="s">
        <v>349</v>
      </c>
    </row>
    <row r="2" spans="1:5" x14ac:dyDescent="0.2">
      <c r="A2" t="s">
        <v>347</v>
      </c>
      <c r="B2" s="76">
        <v>85</v>
      </c>
      <c r="C2" t="s">
        <v>348</v>
      </c>
      <c r="D2">
        <f>B2*1000000</f>
        <v>85000000</v>
      </c>
      <c r="E2" t="s">
        <v>10</v>
      </c>
    </row>
    <row r="3" spans="1:5" x14ac:dyDescent="0.2">
      <c r="A3" t="s">
        <v>351</v>
      </c>
      <c r="B3" s="76">
        <v>3000</v>
      </c>
      <c r="C3" t="s">
        <v>53</v>
      </c>
      <c r="D3">
        <f>B3*0.000000000001</f>
        <v>3E-9</v>
      </c>
      <c r="E3" t="s">
        <v>34</v>
      </c>
    </row>
    <row r="4" spans="1:5" x14ac:dyDescent="0.2">
      <c r="A4" t="s">
        <v>353</v>
      </c>
      <c r="B4" s="77">
        <f>1000000000*1/((D2*2*3.14159)^2*D3)</f>
        <v>1.1686430773614742</v>
      </c>
      <c r="C4" t="s">
        <v>354</v>
      </c>
      <c r="D4">
        <f>B4/1000000000</f>
        <v>1.1686430773614743E-9</v>
      </c>
      <c r="E4" t="s">
        <v>24</v>
      </c>
    </row>
    <row r="5" spans="1:5" x14ac:dyDescent="0.2">
      <c r="A5" t="s">
        <v>352</v>
      </c>
      <c r="B5">
        <f>4*B3</f>
        <v>12000</v>
      </c>
      <c r="C5" t="s">
        <v>53</v>
      </c>
      <c r="D5">
        <f>B5*0.000000000001</f>
        <v>1.2E-8</v>
      </c>
      <c r="E5" t="s">
        <v>34</v>
      </c>
    </row>
    <row r="6" spans="1:5" x14ac:dyDescent="0.2">
      <c r="A6" t="s">
        <v>355</v>
      </c>
      <c r="B6" s="4">
        <f>SQRT(D4/D3)</f>
        <v>0.62413755891936573</v>
      </c>
      <c r="C6" s="4" t="s">
        <v>274</v>
      </c>
      <c r="D6" s="4">
        <f>B6</f>
        <v>0.62413755891936573</v>
      </c>
      <c r="E6" t="s">
        <v>274</v>
      </c>
    </row>
    <row r="7" spans="1:5" x14ac:dyDescent="0.2">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2.75" x14ac:dyDescent="0.2"/>
  <sheetData>
    <row r="3" spans="1:5" x14ac:dyDescent="0.2">
      <c r="A3" t="s">
        <v>299</v>
      </c>
      <c r="B3">
        <f>Iripple1</f>
        <v>8.0899555555555551</v>
      </c>
    </row>
    <row r="4" spans="1:5" x14ac:dyDescent="0.2">
      <c r="A4" t="s">
        <v>7</v>
      </c>
      <c r="B4">
        <f>Fsw</f>
        <v>500000</v>
      </c>
    </row>
    <row r="6" spans="1:5" x14ac:dyDescent="0.2">
      <c r="A6" t="s">
        <v>279</v>
      </c>
      <c r="B6" s="61">
        <v>0.5</v>
      </c>
      <c r="C6" t="s">
        <v>134</v>
      </c>
      <c r="D6">
        <f>B6/1000</f>
        <v>5.0000000000000001E-4</v>
      </c>
      <c r="E6" t="s">
        <v>25</v>
      </c>
    </row>
    <row r="7" spans="1:5" x14ac:dyDescent="0.2">
      <c r="A7" t="s">
        <v>297</v>
      </c>
      <c r="B7" s="61">
        <v>20</v>
      </c>
      <c r="C7" t="s">
        <v>30</v>
      </c>
      <c r="D7">
        <f>B7/1000000</f>
        <v>2.0000000000000002E-5</v>
      </c>
      <c r="E7" t="s">
        <v>34</v>
      </c>
    </row>
    <row r="9" spans="1:5" x14ac:dyDescent="0.2">
      <c r="A9" t="s">
        <v>280</v>
      </c>
      <c r="B9" s="61">
        <v>20</v>
      </c>
      <c r="C9" t="s">
        <v>134</v>
      </c>
      <c r="D9">
        <f>B9/1000</f>
        <v>0.02</v>
      </c>
      <c r="E9" t="s">
        <v>25</v>
      </c>
    </row>
    <row r="10" spans="1:5" x14ac:dyDescent="0.2">
      <c r="A10" t="s">
        <v>298</v>
      </c>
      <c r="B10" s="61">
        <v>68</v>
      </c>
      <c r="C10" t="s">
        <v>30</v>
      </c>
      <c r="D10">
        <f>B10/1000000</f>
        <v>6.7999999999999999E-5</v>
      </c>
      <c r="E10" t="s">
        <v>34</v>
      </c>
    </row>
    <row r="12" spans="1:5" x14ac:dyDescent="0.2">
      <c r="A12" t="s">
        <v>301</v>
      </c>
      <c r="B12">
        <f>(D7/(D7+D10))*SQRT((D9*D10*B4)^2+1)/SQRT((((D6+D9)*D7*D10/(D10+D7))*B4)^2+1)</f>
        <v>0.27145552510052856</v>
      </c>
      <c r="C12" t="s">
        <v>300</v>
      </c>
    </row>
    <row r="13" spans="1:5" x14ac:dyDescent="0.2">
      <c r="A13" t="s">
        <v>302</v>
      </c>
      <c r="B13">
        <f>1-B12</f>
        <v>0.72854447489947138</v>
      </c>
      <c r="C13" t="s">
        <v>300</v>
      </c>
    </row>
    <row r="15" spans="1:5" x14ac:dyDescent="0.2">
      <c r="A15" t="s">
        <v>301</v>
      </c>
      <c r="B15">
        <f>B12*(Iripple1/(2*SQRT(3)))</f>
        <v>0.63394882060523572</v>
      </c>
      <c r="C15" t="s">
        <v>2</v>
      </c>
    </row>
    <row r="16" spans="1:5" x14ac:dyDescent="0.2">
      <c r="A16" t="s">
        <v>302</v>
      </c>
      <c r="B16">
        <f>B13*(Iripple1/(2*SQRT(3)))</f>
        <v>1.7014201882608184</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10</vt:i4>
      </vt:variant>
      <vt:variant>
        <vt:lpstr>命名范围</vt:lpstr>
      </vt:variant>
      <vt:variant>
        <vt:i4>145</vt:i4>
      </vt:variant>
    </vt:vector>
  </HeadingPairs>
  <TitlesOfParts>
    <vt:vector size="155" baseType="lpstr">
      <vt:lpstr>Design Regulator</vt:lpstr>
      <vt:lpstr>Schematic &amp; BOM</vt:lpstr>
      <vt:lpstr>EVM</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Vdd</vt:lpstr>
      <vt:lpstr>VfdSky</vt:lpstr>
      <vt:lpstr>Vin</vt:lpstr>
      <vt:lpstr>Vinmax</vt:lpstr>
      <vt:lpstr>Vinmin</vt:lpstr>
      <vt:lpstr>Vinripple1</vt:lpstr>
      <vt:lpstr>Vinripple2</vt:lpstr>
      <vt:lpstr>VINuvlo_off</vt:lpstr>
      <vt:lpstr>VINuvlo_on</vt:lpstr>
      <vt:lpstr>Vout</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LM25145 Design Tool</dc:title>
  <dc:creator>Timothy Hegarty</dc:creator>
  <cp:keywords>LM25145, PWM controller, synchronous buck, wide Vin</cp:keywords>
  <cp:lastModifiedBy>AME-ENZO</cp:lastModifiedBy>
  <cp:lastPrinted>2017-06-16T22:24:31Z</cp:lastPrinted>
  <dcterms:created xsi:type="dcterms:W3CDTF">1996-10-14T23:33:28Z</dcterms:created>
  <dcterms:modified xsi:type="dcterms:W3CDTF">2020-12-03T04:34:50Z</dcterms:modified>
</cp:coreProperties>
</file>