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omments3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comments6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f9011cb5afc5d7/Documents/UNI/THUAS/Valuation/Valuation june/"/>
    </mc:Choice>
  </mc:AlternateContent>
  <xr:revisionPtr revIDLastSave="1" documentId="8_{00FB1957-6D54-4C05-974C-FA3141A1D14F}" xr6:coauthVersionLast="47" xr6:coauthVersionMax="47" xr10:uidLastSave="{6D68D1CF-1586-4F38-88EF-D277FFDB38A1}"/>
  <bookViews>
    <workbookView xWindow="10728" yWindow="0" windowWidth="12408" windowHeight="12336" firstSheet="7" activeTab="7" xr2:uid="{00000000-000D-0000-FFFF-FFFF00000000}"/>
  </bookViews>
  <sheets>
    <sheet name="Coca-Cola " sheetId="21" r:id="rId1"/>
    <sheet name="Balance sheet" sheetId="2" r:id="rId2"/>
    <sheet name="Income statement" sheetId="3" r:id="rId3"/>
    <sheet name="Cash flow statement" sheetId="4" r:id="rId4"/>
    <sheet name="Free cash flow" sheetId="5" r:id="rId5"/>
    <sheet name="Risk free rate" sheetId="6" r:id="rId6"/>
    <sheet name="return &amp; beta " sheetId="14" r:id="rId7"/>
    <sheet name="debts for cost of debt" sheetId="10" r:id="rId8"/>
    <sheet name="WACC" sheetId="9" r:id="rId9"/>
    <sheet name="Valuation &amp; Terminal value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11" l="1"/>
  <c r="B14" i="11"/>
  <c r="B15" i="11" s="1"/>
  <c r="B11" i="11"/>
  <c r="B20" i="9"/>
  <c r="B25" i="9"/>
  <c r="G9" i="10"/>
  <c r="G10" i="10"/>
  <c r="G11" i="10"/>
  <c r="G12" i="10"/>
  <c r="G8" i="10"/>
  <c r="E13" i="10"/>
  <c r="F10" i="10" s="1"/>
  <c r="H10" i="10" s="1"/>
  <c r="F9" i="10" l="1"/>
  <c r="H9" i="10" s="1"/>
  <c r="B24" i="9"/>
  <c r="B26" i="9" s="1"/>
  <c r="F8" i="10"/>
  <c r="H8" i="10" s="1"/>
  <c r="F11" i="10"/>
  <c r="H11" i="10" s="1"/>
  <c r="F13" i="10"/>
  <c r="F12" i="10"/>
  <c r="H12" i="10" s="1"/>
  <c r="H13" i="10" l="1"/>
  <c r="O10" i="2" l="1"/>
  <c r="P10" i="2"/>
  <c r="Q10" i="2"/>
  <c r="R10" i="2"/>
  <c r="S10" i="2"/>
  <c r="T10" i="2"/>
  <c r="N10" i="2"/>
  <c r="K10" i="5" l="1"/>
  <c r="B11" i="9" l="1"/>
  <c r="C7" i="5"/>
  <c r="D7" i="5"/>
  <c r="E7" i="5"/>
  <c r="F7" i="5"/>
  <c r="G7" i="5"/>
  <c r="H7" i="5"/>
  <c r="K26" i="14" l="1"/>
  <c r="D14" i="5"/>
  <c r="E14" i="5"/>
  <c r="F14" i="5"/>
  <c r="G14" i="5"/>
  <c r="H14" i="5"/>
  <c r="C14" i="5"/>
  <c r="D13" i="5"/>
  <c r="E13" i="5"/>
  <c r="F13" i="5"/>
  <c r="G13" i="5"/>
  <c r="H13" i="5"/>
  <c r="C13" i="5"/>
  <c r="H10" i="5"/>
  <c r="G10" i="5"/>
  <c r="F10" i="5"/>
  <c r="E10" i="5"/>
  <c r="D10" i="5"/>
  <c r="C10" i="5"/>
  <c r="D6" i="5"/>
  <c r="D9" i="5" s="1"/>
  <c r="E6" i="5"/>
  <c r="E9" i="5" s="1"/>
  <c r="E11" i="5" s="1"/>
  <c r="F6" i="5"/>
  <c r="F9" i="5" s="1"/>
  <c r="F11" i="5" s="1"/>
  <c r="F16" i="5" s="1"/>
  <c r="G6" i="5"/>
  <c r="G9" i="5" s="1"/>
  <c r="G11" i="5" s="1"/>
  <c r="G16" i="5" s="1"/>
  <c r="H6" i="5"/>
  <c r="H9" i="5" s="1"/>
  <c r="C6" i="5"/>
  <c r="C9" i="5" s="1"/>
  <c r="O6" i="14"/>
  <c r="B13" i="9" s="1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7" i="14"/>
  <c r="K8" i="5" l="1"/>
  <c r="K7" i="5"/>
  <c r="H11" i="5"/>
  <c r="H16" i="5" s="1"/>
  <c r="J5" i="11" s="1"/>
  <c r="K5" i="11" s="1"/>
  <c r="E16" i="5"/>
  <c r="E18" i="5" s="1"/>
  <c r="D11" i="5"/>
  <c r="D16" i="5" s="1"/>
  <c r="K9" i="5" s="1"/>
  <c r="F18" i="5"/>
  <c r="H5" i="11"/>
  <c r="G5" i="11"/>
  <c r="G18" i="5"/>
  <c r="I5" i="11"/>
  <c r="C11" i="5"/>
  <c r="C16" i="5" s="1"/>
  <c r="E5" i="11" s="1"/>
  <c r="K25" i="14"/>
  <c r="B10" i="9" s="1"/>
  <c r="L5" i="11" l="1"/>
  <c r="F5" i="11"/>
  <c r="H18" i="5"/>
  <c r="K13" i="5"/>
  <c r="D18" i="5"/>
  <c r="B3" i="9"/>
  <c r="M3" i="6"/>
  <c r="H51" i="4"/>
  <c r="B18" i="9"/>
  <c r="B4" i="9"/>
  <c r="C39" i="2"/>
  <c r="D39" i="2"/>
  <c r="E39" i="2"/>
  <c r="F39" i="2"/>
  <c r="G39" i="2"/>
  <c r="H39" i="2"/>
  <c r="M5" i="11" l="1"/>
  <c r="H20" i="5"/>
  <c r="B6" i="9"/>
  <c r="N5" i="11" l="1"/>
  <c r="B12" i="9"/>
  <c r="C65" i="6"/>
  <c r="D65" i="6"/>
  <c r="E65" i="6"/>
  <c r="F65" i="6"/>
  <c r="G65" i="6"/>
  <c r="H65" i="6"/>
  <c r="I65" i="6"/>
  <c r="J65" i="6"/>
  <c r="B65" i="6"/>
  <c r="O5" i="11" l="1"/>
  <c r="B29" i="9"/>
  <c r="B6" i="11" s="1"/>
  <c r="B14" i="9"/>
  <c r="N7" i="11" l="1"/>
  <c r="O7" i="11"/>
  <c r="K7" i="11"/>
  <c r="L7" i="11"/>
  <c r="B25" i="11"/>
  <c r="M7" i="11"/>
  <c r="K6" i="11"/>
  <c r="L6" i="11"/>
  <c r="M6" i="11"/>
  <c r="N6" i="11"/>
  <c r="P5" i="11"/>
  <c r="P6" i="11" s="1"/>
  <c r="O6" i="11"/>
  <c r="B23" i="11"/>
  <c r="B26" i="11" s="1"/>
  <c r="N9" i="2"/>
  <c r="P9" i="2"/>
  <c r="Q9" i="2"/>
  <c r="R9" i="2"/>
  <c r="S9" i="2"/>
  <c r="T9" i="2"/>
  <c r="O9" i="2"/>
  <c r="D50" i="4"/>
  <c r="E50" i="4"/>
  <c r="F50" i="4"/>
  <c r="G50" i="4"/>
  <c r="H50" i="4"/>
  <c r="C50" i="4"/>
  <c r="H13" i="3"/>
  <c r="E12" i="3"/>
  <c r="F12" i="3"/>
  <c r="G12" i="3"/>
  <c r="H12" i="3"/>
  <c r="D12" i="3"/>
  <c r="B27" i="11" l="1"/>
  <c r="B28" i="11"/>
  <c r="B29" i="11" l="1"/>
  <c r="B10" i="11"/>
  <c r="B12" i="11" s="1"/>
  <c r="B17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tc={086F8D03-B75A-4423-8E65-6B51282A0F77}</author>
    <author>tc={21081F31-BE1D-4EBC-A7CC-53B4D5FE40F1}</author>
    <author>tc={81A25C5D-7952-430A-B846-1424F99FBF7D}</author>
  </authors>
  <commentList>
    <comment ref="H18" authorId="0" shapeId="0" xr:uid="{086F8D03-B75A-4423-8E65-6B51282A0F77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https://www.statista.com/statistics/254562/coca-colas-number-of-employees-worldwide/</t>
      </text>
    </comment>
    <comment ref="C20" authorId="1" shapeId="0" xr:uid="{21081F31-BE1D-4EBC-A7CC-53B4D5FE40F1}">
      <text>
        <t>[Threaded comment]
Your version of Excel allows you to read this threaded comment; however, any edits to it will get removed if the file is opened in a newer version of Excel. Learn more: https://go.microsoft.com/fwlink/?linkid=870924
Comment:
    As of May 2023, https://companiesmarketcap.com/coca-cola/marketcap/</t>
      </text>
    </comment>
    <comment ref="H20" authorId="2" shapeId="0" xr:uid="{81A25C5D-7952-430A-B846-1424F99FBF7D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https://www.wallstreetzen.com/stocks/us/nyse/ko/statistics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Vénus Artus</author>
  </authors>
  <commentList>
    <comment ref="A4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Vénus Artus:</t>
        </r>
        <r>
          <rPr>
            <sz val="9"/>
            <color indexed="81"/>
            <rFont val="Tahoma"/>
            <family val="2"/>
          </rPr>
          <t xml:space="preserve">
Review whether or not i should take income before tax or net income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Vénus Artus</author>
  </authors>
  <commentList>
    <comment ref="M3" authorId="0" shapeId="0" xr:uid="{EC670E0E-2F26-4321-9ADC-084D54135995}">
      <text>
        <r>
          <rPr>
            <b/>
            <sz val="9"/>
            <color indexed="81"/>
            <rFont val="Tahoma"/>
            <family val="2"/>
          </rPr>
          <t>Vénus Artus:</t>
        </r>
        <r>
          <rPr>
            <sz val="9"/>
            <color indexed="81"/>
            <rFont val="Tahoma"/>
            <family val="2"/>
          </rPr>
          <t xml:space="preserve">
Average of 5 year 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tc={4F1E7BD2-A86B-4BB1-9E9B-79953C3BAD4E}</author>
    <author>tc={951EEE08-3824-4BA2-8184-EF02E7C73800}</author>
  </authors>
  <commentList>
    <comment ref="I10" authorId="0" shapeId="0" xr:uid="{4F1E7BD2-A86B-4BB1-9E9B-79953C3BAD4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Coup de la dette </t>
      </text>
    </comment>
    <comment ref="J10" authorId="1" shapeId="0" xr:uid="{951EEE08-3824-4BA2-8184-EF02E7C73800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https://www.boerse-frankfurt.de/bond/xs1995781546-coca-cola-hbc-finance-b-v-1-19-27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tc={D18870C5-D829-42EC-8074-42547361E591}</author>
  </authors>
  <commentList>
    <comment ref="A19" authorId="0" shapeId="0" xr:uid="{D18870C5-D829-42EC-8074-42547361E591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https://finance.yahoo.com/quote/KO/history/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Vénus Artus</author>
    <author>tc={382CC116-22D6-4E45-A1E2-AE3034CBD904}</author>
    <author>tc={4660003D-7733-42F1-B70D-6D62A7D14313}</author>
  </authors>
  <commentList>
    <comment ref="D7" authorId="0" shapeId="0" xr:uid="{7B5BBBCD-B178-4EF9-94B1-A6AAD13FB442}">
      <text>
        <r>
          <rPr>
            <b/>
            <sz val="9"/>
            <color indexed="81"/>
            <rFont val="Tahoma"/>
            <family val="2"/>
          </rPr>
          <t>Vénus Artus:</t>
        </r>
        <r>
          <rPr>
            <sz val="9"/>
            <color indexed="81"/>
            <rFont val="Tahoma"/>
            <family val="2"/>
          </rPr>
          <t xml:space="preserve">
1/(1+r)^n
</t>
        </r>
      </text>
    </comment>
    <comment ref="A14" authorId="1" shapeId="0" xr:uid="{382CC116-22D6-4E45-A1E2-AE3034CBD904}">
      <text>
        <t>[Threaded comment]
Your version of Excel allows you to read this threaded comment; however, any edits to it will get removed if the file is opened in a newer version of Excel. Learn more: https://go.microsoft.com/fwlink/?linkid=870924
Comment:
    May 10th https://investors.coca-colacompany.com/stock-information/historical-data</t>
      </text>
    </comment>
    <comment ref="A29" authorId="2" shapeId="0" xr:uid="{4660003D-7733-42F1-B70D-6D62A7D143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millions $
</t>
      </text>
    </comment>
  </commentList>
</comments>
</file>

<file path=xl/sharedStrings.xml><?xml version="1.0" encoding="utf-8"?>
<sst xmlns="http://schemas.openxmlformats.org/spreadsheetml/2006/main" count="339" uniqueCount="275">
  <si>
    <t>CURRENT ASSETS</t>
  </si>
  <si>
    <t>Cash and cash equivalents</t>
  </si>
  <si>
    <t>Short-term investments</t>
  </si>
  <si>
    <t>Total Cash, Cash Equivalents and Short-Term Investments</t>
  </si>
  <si>
    <t>Marketable securities</t>
  </si>
  <si>
    <t>Trade accounts receivable, less allowances of $516 and $516, respectively</t>
  </si>
  <si>
    <t>Inventories</t>
  </si>
  <si>
    <t>Prepaid expenses and other current assets</t>
  </si>
  <si>
    <t>Total Current Assets</t>
  </si>
  <si>
    <t>Equity method investments</t>
  </si>
  <si>
    <t>Other investments</t>
  </si>
  <si>
    <t>Other noncurrent assets</t>
  </si>
  <si>
    <t>Deferred income tax assets</t>
  </si>
  <si>
    <t>Property, plant and equipment — net</t>
  </si>
  <si>
    <t>Trademarks with indefinite lives</t>
  </si>
  <si>
    <t>Goodwill</t>
  </si>
  <si>
    <t>Other intangible assets</t>
  </si>
  <si>
    <t>Total Assets</t>
  </si>
  <si>
    <t>CURRENT LIABILITIES</t>
  </si>
  <si>
    <t>Accounts payable and accrued expenses</t>
  </si>
  <si>
    <t>Loans and notes payable</t>
  </si>
  <si>
    <t>Current maturities of long-term debt</t>
  </si>
  <si>
    <t>Accrued income taxes</t>
  </si>
  <si>
    <t>Total Current Liabilities</t>
  </si>
  <si>
    <t>Long-term debt</t>
  </si>
  <si>
    <t>Other noncurrent liabilities</t>
  </si>
  <si>
    <t>Deferred income tax liabilities</t>
  </si>
  <si>
    <t> </t>
  </si>
  <si>
    <t>Net Operating Revenues</t>
  </si>
  <si>
    <t>Cost of goods sold</t>
  </si>
  <si>
    <t>Gross Profit</t>
  </si>
  <si>
    <t>Selling, general and administrative expenses</t>
  </si>
  <si>
    <t>Other operating charges</t>
  </si>
  <si>
    <t>Operating Income</t>
  </si>
  <si>
    <t>Interest income</t>
  </si>
  <si>
    <t>Interest expense</t>
  </si>
  <si>
    <t>Equity income (loss) — net</t>
  </si>
  <si>
    <t>Other income (loss) — net</t>
  </si>
  <si>
    <t>Income Before Income Taxes</t>
  </si>
  <si>
    <t>Income taxes</t>
  </si>
  <si>
    <t>Consolidated Net Income</t>
  </si>
  <si>
    <t>OPERATING ACTIVITIES</t>
  </si>
  <si>
    <t>Depreciation and amortization</t>
  </si>
  <si>
    <t>Stock-based compensation expense</t>
  </si>
  <si>
    <t>Deferred income taxes</t>
  </si>
  <si>
    <t>Equity (income) loss — net of dividends</t>
  </si>
  <si>
    <t>Foreign currency adjustments</t>
  </si>
  <si>
    <t>Significant (gains) losses — net</t>
  </si>
  <si>
    <t>Other items</t>
  </si>
  <si>
    <t>Net change in operating assets and liabilities</t>
  </si>
  <si>
    <t>Net Cash Provided by Operating Activities</t>
  </si>
  <si>
    <t>INVESTING ACTIVITIES</t>
  </si>
  <si>
    <t>Purchases of investments</t>
  </si>
  <si>
    <t>Proceeds from disposals of investments</t>
  </si>
  <si>
    <t>Acquisitions of businesses, equity method investments and nonmarketable securities</t>
  </si>
  <si>
    <t>Proceeds from disposals of businesses, equity method investments and nonmarketable securities</t>
  </si>
  <si>
    <t>Purchases of property, plant and equipment</t>
  </si>
  <si>
    <t>Proceeds from disposals of property, plant and equipment</t>
  </si>
  <si>
    <t>Collateral (paid) received associated with hedging activities — net</t>
  </si>
  <si>
    <t>Other investing activities</t>
  </si>
  <si>
    <t>Net Cash Provided by (Used in) Investing Activities</t>
  </si>
  <si>
    <t>FINANCING ACTIVITIES</t>
  </si>
  <si>
    <t>Issuances of debt</t>
  </si>
  <si>
    <t>Payments of debt</t>
  </si>
  <si>
    <t>Issuances of stock</t>
  </si>
  <si>
    <t>Purchases of stock for treasury</t>
  </si>
  <si>
    <t>Dividends</t>
  </si>
  <si>
    <t>Other financing activities</t>
  </si>
  <si>
    <t>Net Cash Provided by (Used in) Financing Activities</t>
  </si>
  <si>
    <t>CASH AND CASH EQUIVALENTS</t>
  </si>
  <si>
    <t>Effect of Exchange Rate Changes on Cash, Cash Equivalents, Restricted Cash, and Restricted Cash Equivalents</t>
  </si>
  <si>
    <t>Net increase (decrease) in cash, cash equivalents, restricted cash and restricted cash equivalents during the year</t>
  </si>
  <si>
    <t>Cash, cash equivalents, restricted cash and restricted cash equivalents at beginning of year</t>
  </si>
  <si>
    <t>Cash, Cash Equivalents, Restricted Cash and Restricted Cash Equivalents at End of Year</t>
  </si>
  <si>
    <t>Restricted Cash and Restricted Cash Equivalents</t>
  </si>
  <si>
    <t>BASIC NET INCOME PER SHARE (in dollars per share)</t>
  </si>
  <si>
    <t>DILUTED NET INCOME PER SHARE (in dollars per share)</t>
  </si>
  <si>
    <t>AVERAGE SHARES OUTSTANDING (in shares)</t>
  </si>
  <si>
    <t>Effect of dilutive securities (in shares)</t>
  </si>
  <si>
    <t>AVERAGE SHARES OUTSTANDING ASSUMING DILUTION (in shares)</t>
  </si>
  <si>
    <t>Bottler's franchise rights with indefinite lives</t>
  </si>
  <si>
    <t>NET INCOME FROM CONTINUING OPERATIONS</t>
  </si>
  <si>
    <t>Income (Loss) from Discontinued Operations, Net of Tax, Including Portion Attributable to Noncontrolling Interest</t>
  </si>
  <si>
    <t>(Income) Loss from Discontinued Operations</t>
  </si>
  <si>
    <t>Assets held for sale</t>
  </si>
  <si>
    <t>Assets held for sale - discontinuing operations</t>
  </si>
  <si>
    <t>Liabilities held for sale</t>
  </si>
  <si>
    <t>Liabilities Held for Sale, Discontinued Operations</t>
  </si>
  <si>
    <t>-</t>
  </si>
  <si>
    <t>Revenue growth %</t>
  </si>
  <si>
    <t xml:space="preserve">Average growth </t>
  </si>
  <si>
    <t>Income before tax</t>
  </si>
  <si>
    <t xml:space="preserve">Effective Tax rate </t>
  </si>
  <si>
    <t>Tax rate</t>
  </si>
  <si>
    <t>(+) Depreciation &amp; amortization</t>
  </si>
  <si>
    <t>(-) Variation working capital</t>
  </si>
  <si>
    <t>Working capital</t>
  </si>
  <si>
    <t>Current assets</t>
  </si>
  <si>
    <t>Current liabilities</t>
  </si>
  <si>
    <t>(-) CAPEX</t>
  </si>
  <si>
    <t>FCF</t>
  </si>
  <si>
    <t>Average growth</t>
  </si>
  <si>
    <t xml:space="preserve">The average growth rate seems unrealistic and it is due to the extremely high growth between the year 2017 and 2018. therefore we need to adjust the FCF growth. </t>
  </si>
  <si>
    <t>1. We adjust the taxe rate by computing an average tax rate on the past years with the exceptions of 2017</t>
  </si>
  <si>
    <t>2. We compute an adjusted FCF for the year 2017</t>
  </si>
  <si>
    <t>3. We adjust the FCF growth between 2017 and 2018</t>
  </si>
  <si>
    <t xml:space="preserve">4. We compute the adjusted FCF average growth </t>
  </si>
  <si>
    <t>Adjustment N°1</t>
  </si>
  <si>
    <t>Adjustment N°2</t>
  </si>
  <si>
    <t xml:space="preserve">1. We ignore the year 2017 and re-compute the average growth </t>
  </si>
  <si>
    <t>Date</t>
  </si>
  <si>
    <t>03/15/23</t>
  </si>
  <si>
    <t>03/14/23</t>
  </si>
  <si>
    <t>03/13/23</t>
  </si>
  <si>
    <t>02/28/23</t>
  </si>
  <si>
    <t>02/27/23</t>
  </si>
  <si>
    <t>02/24/23</t>
  </si>
  <si>
    <t>02/23/23</t>
  </si>
  <si>
    <t>02/22/23</t>
  </si>
  <si>
    <t>02/21/23</t>
  </si>
  <si>
    <t>02/20/23</t>
  </si>
  <si>
    <t>02/17/23</t>
  </si>
  <si>
    <t>02/16/23</t>
  </si>
  <si>
    <t>02/15/23</t>
  </si>
  <si>
    <t>02/14/23</t>
  </si>
  <si>
    <t>02/13/23</t>
  </si>
  <si>
    <t>01/31/23</t>
  </si>
  <si>
    <t>01/30/23</t>
  </si>
  <si>
    <t>01/27/23</t>
  </si>
  <si>
    <t>01/26/23</t>
  </si>
  <si>
    <t>01/25/23</t>
  </si>
  <si>
    <t>01/24/23</t>
  </si>
  <si>
    <t>01/23/23</t>
  </si>
  <si>
    <t>01/20/23</t>
  </si>
  <si>
    <t>01/19/23</t>
  </si>
  <si>
    <t>01/18/23</t>
  </si>
  <si>
    <t>01/17/23</t>
  </si>
  <si>
    <t>01/13/23</t>
  </si>
  <si>
    <t>12/30/22</t>
  </si>
  <si>
    <t>12/29/22</t>
  </si>
  <si>
    <t>12/28/22</t>
  </si>
  <si>
    <t>12/27/22</t>
  </si>
  <si>
    <t>12/23/22</t>
  </si>
  <si>
    <t>12/22/22</t>
  </si>
  <si>
    <t>12/21/22</t>
  </si>
  <si>
    <t>12/20/22</t>
  </si>
  <si>
    <t>12/19/22</t>
  </si>
  <si>
    <t>12/16/22</t>
  </si>
  <si>
    <t>12/15/22</t>
  </si>
  <si>
    <t>3 mo</t>
  </si>
  <si>
    <t>6 mo</t>
  </si>
  <si>
    <t>1 mo</t>
  </si>
  <si>
    <t>20 yr</t>
  </si>
  <si>
    <t>10 yr</t>
  </si>
  <si>
    <t>7 yr</t>
  </si>
  <si>
    <t>5 yr</t>
  </si>
  <si>
    <t>3 yr</t>
  </si>
  <si>
    <t>1 yr</t>
  </si>
  <si>
    <t>Average</t>
  </si>
  <si>
    <t>Risk free rate</t>
  </si>
  <si>
    <t xml:space="preserve">Return coca cola </t>
  </si>
  <si>
    <t>Return S&amp;P 500</t>
  </si>
  <si>
    <t>Log return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</si>
  <si>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</si>
  <si>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</si>
  <si>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</si>
  <si>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</si>
  <si>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</si>
  <si>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</si>
  <si>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</si>
  <si>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</si>
  <si>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</si>
  <si>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</si>
  <si>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</si>
  <si>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</si>
  <si>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</si>
  <si>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</si>
  <si>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</si>
  <si>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</si>
  <si>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</si>
  <si>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</si>
  <si>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</si>
  <si>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</si>
  <si>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</si>
  <si>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</si>
  <si>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</si>
  <si>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</si>
  <si>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 xml:space="preserve">Cost of debt </t>
  </si>
  <si>
    <t>[Interest expense*(1- tax rate)]/ total debt</t>
  </si>
  <si>
    <t xml:space="preserve">Total debt </t>
  </si>
  <si>
    <t>Total Liabilities</t>
  </si>
  <si>
    <t xml:space="preserve">Expected return </t>
  </si>
  <si>
    <t xml:space="preserve">Risk free rate </t>
  </si>
  <si>
    <t xml:space="preserve">Cost of equity </t>
  </si>
  <si>
    <t>Risk free rate + B * Market premium</t>
  </si>
  <si>
    <t>Beta</t>
  </si>
  <si>
    <t>Market premium</t>
  </si>
  <si>
    <t xml:space="preserve">Market value of equity </t>
  </si>
  <si>
    <t xml:space="preserve">Outstanding shares * Closing Price </t>
  </si>
  <si>
    <t>Outsanding shares (in million)</t>
  </si>
  <si>
    <t>Market value of debt</t>
  </si>
  <si>
    <t>Amount</t>
  </si>
  <si>
    <t>Rate</t>
  </si>
  <si>
    <t>Maturity</t>
  </si>
  <si>
    <t>in millions</t>
  </si>
  <si>
    <t>Value share</t>
  </si>
  <si>
    <t xml:space="preserve">price </t>
  </si>
  <si>
    <t>WACC</t>
  </si>
  <si>
    <t>Total debt * bond yield</t>
  </si>
  <si>
    <t>outstanding shares</t>
  </si>
  <si>
    <t>Tax rate (averaged)</t>
  </si>
  <si>
    <t xml:space="preserve">Average tax rate </t>
  </si>
  <si>
    <t>Close</t>
  </si>
  <si>
    <t>log return</t>
  </si>
  <si>
    <t>Revenue</t>
  </si>
  <si>
    <t>(-) COGS</t>
  </si>
  <si>
    <t>(-) operating expenses</t>
  </si>
  <si>
    <t>EBIT</t>
  </si>
  <si>
    <t>risk free rate</t>
  </si>
  <si>
    <t>Year</t>
  </si>
  <si>
    <t>Discounted cash flow</t>
  </si>
  <si>
    <t>projection</t>
  </si>
  <si>
    <t>sum notes value</t>
  </si>
  <si>
    <t xml:space="preserve">Present value factor </t>
  </si>
  <si>
    <t>Terminal Value calculation</t>
  </si>
  <si>
    <t xml:space="preserve">Gordon Shapiro method </t>
  </si>
  <si>
    <t>TV = (FCF*(1+g)/(r-g))</t>
  </si>
  <si>
    <t>(r)</t>
  </si>
  <si>
    <t xml:space="preserve">Terminal value </t>
  </si>
  <si>
    <t xml:space="preserve">Present terminal value </t>
  </si>
  <si>
    <t xml:space="preserve">Sum FCF </t>
  </si>
  <si>
    <t xml:space="preserve">Firm value </t>
  </si>
  <si>
    <t xml:space="preserve">DCF Coca-cola </t>
  </si>
  <si>
    <t>Calculated share price</t>
  </si>
  <si>
    <t>Coca-Cola stock price</t>
  </si>
  <si>
    <t xml:space="preserve">Undervalued by </t>
  </si>
  <si>
    <t>Ratio</t>
  </si>
  <si>
    <t>Closing price May 10th 2023</t>
  </si>
  <si>
    <t xml:space="preserve">Market capitalization </t>
  </si>
  <si>
    <t>$258.04 Billion</t>
  </si>
  <si>
    <t xml:space="preserve">Industry </t>
  </si>
  <si>
    <t xml:space="preserve">Non-Alcoholic beverage </t>
  </si>
  <si>
    <t>Sector</t>
  </si>
  <si>
    <t>Consumer staples</t>
  </si>
  <si>
    <t xml:space="preserve">Number of employees </t>
  </si>
  <si>
    <t>Origin &amp; creation date</t>
  </si>
  <si>
    <t>U</t>
  </si>
  <si>
    <t xml:space="preserve">USD ($) $ in millions </t>
  </si>
  <si>
    <t>Revenue 2022</t>
  </si>
  <si>
    <t>US, 1892</t>
  </si>
  <si>
    <t>The Coca-Cola Company (NYSE:KO)</t>
  </si>
  <si>
    <t>Units sold in 2022</t>
  </si>
  <si>
    <t xml:space="preserve">32.7 billions </t>
  </si>
  <si>
    <t xml:space="preserve">Founders </t>
  </si>
  <si>
    <t>John Stith Pemberton, Asa Griggs Candler</t>
  </si>
  <si>
    <t>Coca-Cola Revenue by Segment</t>
  </si>
  <si>
    <t xml:space="preserve">Key members </t>
  </si>
  <si>
    <t xml:space="preserve">James Quincey (CEO), John Murphy (CFO), </t>
  </si>
  <si>
    <t>Stock Changes for May 2023</t>
  </si>
  <si>
    <t xml:space="preserve">Data from : WSJ Markets </t>
  </si>
  <si>
    <t xml:space="preserve">Growth rate </t>
  </si>
  <si>
    <t xml:space="preserve">Long-term growth </t>
  </si>
  <si>
    <t xml:space="preserve">Discount rate </t>
  </si>
  <si>
    <t xml:space="preserve">Time till maturity </t>
  </si>
  <si>
    <t xml:space="preserve">Weighted maturity </t>
  </si>
  <si>
    <t>Yield (%)</t>
  </si>
  <si>
    <t xml:space="preserve">Last price </t>
  </si>
  <si>
    <t>ISN</t>
  </si>
  <si>
    <t>XS1377682676</t>
  </si>
  <si>
    <t>XS2533012790</t>
  </si>
  <si>
    <t>XS1995781546</t>
  </si>
  <si>
    <t>XS2082345955</t>
  </si>
  <si>
    <t>XS1995795504</t>
  </si>
  <si>
    <t>FCF 2027</t>
  </si>
  <si>
    <t xml:space="preserve">(LTG)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</si>
</sst>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(&quot;$ &quot;#,##0_);_(&quot;$ &quot;\(#,##0\)"/>
    <numFmt numFmtId="165" formatCode="_(&quot;$ &quot;#,##0.00_);_(&quot;$ &quot;\(#,##0.00\)"/>
    <numFmt numFmtId="166" formatCode="0.000%"/>
    <numFmt numFmtId="167" formatCode="[$-F800]dddd\,\ mmmm\ dd\,\ yyyy"/>
    <numFmt numFmtId="168" formatCode="0.0000%"/>
    <numFmt numFmtId="169" formatCode="#,##0.0000;\-#,##0.0000"/>
    <numFmt numFmtId="170" formatCode="#,##0.00000;\-#,##0.00000"/>
    <numFmt numFmtId="171" formatCode="0.00000000%"/>
    <numFmt numFmtId="172" formatCode="0.0000000000000000%"/>
    <numFmt numFmtId="173" formatCode="_-[$$-409]* #,##0.00_ ;_-[$$-409]* \-#,##0.00\ ;_-[$$-409]* &quot;-&quot;??_ ;_-@_ "/>
    <numFmt numFmtId="174" formatCode="0.00000%"/>
    <numFmt numFmtId="175" formatCode="#,##0.000;\-#,##0.000"/>
    <numFmt numFmtId="176" formatCode="_-[$$-409]* #,##0.0000_ ;_-[$$-409]* \-#,##0.0000\ ;_-[$$-409]* &quot;-&quot;??_ ;_-@_ "/>
    <numFmt numFmtId="177" formatCode="#,##0.0000"/>
    <numFmt numFmtId="178" formatCode="_-* #,##0.0000_-;\-* #,##0.0000_-;_-* &quot;-&quot;??_-;_-@_-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0"/>
      <name val="Arial"/>
      <family val="2"/>
    </font>
    <font>
      <sz val="11"/>
      <color theme="1"/>
      <name val="Segoe UI"/>
      <family val="2"/>
    </font>
    <font>
      <b/>
      <sz val="12"/>
      <color theme="1"/>
      <name val="Segoe UI"/>
      <family val="2"/>
    </font>
    <font>
      <b/>
      <sz val="11"/>
      <name val="Segoe UI"/>
      <family val="2"/>
    </font>
    <font>
      <sz val="11"/>
      <name val="Segoe UI"/>
      <family val="2"/>
    </font>
    <font>
      <b/>
      <sz val="11"/>
      <color theme="1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 "/>
    </font>
    <font>
      <b/>
      <sz val="12"/>
      <color theme="1"/>
      <name val="Segoe UI  "/>
    </font>
    <font>
      <sz val="11"/>
      <name val="Segoe UI  "/>
    </font>
    <font>
      <b/>
      <sz val="11"/>
      <color theme="1"/>
      <name val="Segoe UI  "/>
    </font>
    <font>
      <b/>
      <sz val="11"/>
      <color rgb="FF006100"/>
      <name val="Segoe UI  "/>
    </font>
    <font>
      <b/>
      <sz val="14"/>
      <color theme="1"/>
      <name val="Segoe UI  "/>
    </font>
    <font>
      <sz val="11"/>
      <color theme="4" tint="-0.249977111117893"/>
      <name val="Segoe UI  "/>
    </font>
    <font>
      <sz val="11"/>
      <color theme="5"/>
      <name val="Segoe UI  "/>
    </font>
    <font>
      <i/>
      <sz val="11"/>
      <color theme="1"/>
      <name val="Segoe UI  "/>
    </font>
    <font>
      <sz val="12"/>
      <color theme="1"/>
      <name val="Segoe UI  "/>
    </font>
    <font>
      <b/>
      <sz val="16"/>
      <color theme="1"/>
      <name val="Segoe UI  "/>
    </font>
    <font>
      <b/>
      <u/>
      <sz val="11"/>
      <color theme="1"/>
      <name val="Segoe UI  "/>
    </font>
    <font>
      <sz val="8"/>
      <name val="Calibri"/>
      <family val="2"/>
      <scheme val="minor"/>
    </font>
    <font>
      <b/>
      <u/>
      <sz val="14"/>
      <name val="Segoe UI  "/>
    </font>
    <font>
      <sz val="11"/>
      <color rgb="FF212529"/>
      <name val="Calibri  "/>
    </font>
    <font>
      <b/>
      <sz val="11"/>
      <color rgb="FFFF0000"/>
      <name val="Calibri"/>
      <family val="2"/>
      <scheme val="minor"/>
    </font>
    <font>
      <sz val="10"/>
      <color rgb="FF333333"/>
      <name val="Segoe UI  "/>
    </font>
    <font>
      <sz val="16"/>
      <color theme="1"/>
      <name val="Segoe UI  "/>
    </font>
    <font>
      <sz val="12"/>
      <color theme="1"/>
      <name val="Calibri"/>
      <family val="2"/>
      <scheme val="minor"/>
    </font>
    <font>
      <b/>
      <sz val="12"/>
      <color rgb="FF006100"/>
      <name val="Segoe UI  "/>
    </font>
    <font>
      <sz val="12"/>
      <color rgb="FFFF0000"/>
      <name val="Segoe UI  "/>
    </font>
    <font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rgb="FF9BC2E6"/>
        <bgColor indexed="64"/>
      </patternFill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/>
      <bottom style="thin">
        <color theme="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thin">
        <color rgb="FFB2B2B2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4" fillId="0" borderId="0">
      <alignment vertical="top"/>
    </xf>
    <xf numFmtId="43" fontId="1" fillId="0" borderId="0" applyFont="0" applyFill="0" applyBorder="0" applyAlignment="0" applyProtection="0"/>
    <xf numFmtId="0" fontId="1" fillId="11" borderId="0" applyNumberFormat="0" applyBorder="0" applyAlignment="0" applyProtection="0"/>
    <xf numFmtId="0" fontId="14" fillId="13" borderId="0" applyNumberFormat="0" applyBorder="0" applyAlignment="0" applyProtection="0"/>
    <xf numFmtId="0" fontId="1" fillId="14" borderId="22" applyNumberFormat="0" applyFont="0" applyAlignment="0" applyProtection="0"/>
    <xf numFmtId="0" fontId="15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1" fillId="16" borderId="0" applyNumberFormat="0" applyBorder="0" applyAlignment="0" applyProtection="0"/>
  </cellStyleXfs>
  <cellXfs count="285">
    <xf numFmtId="0" fontId="0" fillId="0" borderId="0" xfId="0"/>
    <xf numFmtId="164" fontId="2" fillId="0" borderId="0" xfId="0" applyNumberFormat="1" applyFont="1" applyAlignment="1">
      <alignment horizontal="right" vertical="top"/>
    </xf>
    <xf numFmtId="37" fontId="2" fillId="0" borderId="0" xfId="0" applyNumberFormat="1" applyFont="1" applyAlignment="1">
      <alignment horizontal="right" vertical="top"/>
    </xf>
    <xf numFmtId="37" fontId="3" fillId="0" borderId="0" xfId="0" applyNumberFormat="1" applyFont="1" applyAlignment="1">
      <alignment horizontal="right" vertical="top"/>
    </xf>
    <xf numFmtId="0" fontId="5" fillId="0" borderId="0" xfId="0" applyFont="1"/>
    <xf numFmtId="164" fontId="8" fillId="0" borderId="0" xfId="0" applyNumberFormat="1" applyFont="1" applyAlignment="1">
      <alignment horizontal="center" vertical="top"/>
    </xf>
    <xf numFmtId="37" fontId="8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7" fillId="0" borderId="0" xfId="3" applyFont="1">
      <alignment vertical="top"/>
    </xf>
    <xf numFmtId="37" fontId="8" fillId="0" borderId="0" xfId="0" applyNumberFormat="1" applyFont="1" applyAlignment="1">
      <alignment horizontal="left" vertical="top"/>
    </xf>
    <xf numFmtId="0" fontId="9" fillId="0" borderId="0" xfId="0" applyFont="1"/>
    <xf numFmtId="9" fontId="8" fillId="0" borderId="0" xfId="1" applyFont="1" applyAlignment="1">
      <alignment horizontal="center" vertical="top"/>
    </xf>
    <xf numFmtId="0" fontId="1" fillId="2" borderId="1" xfId="2" applyBorder="1"/>
    <xf numFmtId="0" fontId="1" fillId="2" borderId="1" xfId="2" applyBorder="1" applyAlignment="1">
      <alignment horizontal="center"/>
    </xf>
    <xf numFmtId="37" fontId="1" fillId="2" borderId="1" xfId="2" applyNumberFormat="1" applyBorder="1" applyAlignment="1">
      <alignment horizontal="center" vertical="top"/>
    </xf>
    <xf numFmtId="37" fontId="1" fillId="2" borderId="1" xfId="2" applyNumberFormat="1" applyBorder="1" applyAlignment="1">
      <alignment horizontal="center"/>
    </xf>
    <xf numFmtId="0" fontId="4" fillId="0" borderId="0" xfId="3">
      <alignment vertical="top"/>
    </xf>
    <xf numFmtId="37" fontId="9" fillId="0" borderId="0" xfId="0" applyNumberFormat="1" applyFont="1" applyAlignment="1">
      <alignment horizontal="center"/>
    </xf>
    <xf numFmtId="9" fontId="0" fillId="0" borderId="0" xfId="1" applyFont="1"/>
    <xf numFmtId="0" fontId="1" fillId="2" borderId="1" xfId="2" applyBorder="1" applyAlignment="1">
      <alignment vertical="top"/>
    </xf>
    <xf numFmtId="3" fontId="1" fillId="2" borderId="1" xfId="2" applyNumberFormat="1" applyBorder="1"/>
    <xf numFmtId="9" fontId="0" fillId="0" borderId="0" xfId="0" applyNumberFormat="1"/>
    <xf numFmtId="37" fontId="8" fillId="3" borderId="1" xfId="0" applyNumberFormat="1" applyFont="1" applyFill="1" applyBorder="1" applyAlignment="1">
      <alignment horizontal="center" vertical="top"/>
    </xf>
    <xf numFmtId="9" fontId="8" fillId="3" borderId="1" xfId="1" applyFont="1" applyFill="1" applyBorder="1" applyAlignment="1">
      <alignment horizontal="center" vertical="top"/>
    </xf>
    <xf numFmtId="10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1" applyNumberFormat="1" applyFont="1"/>
    <xf numFmtId="1" fontId="0" fillId="0" borderId="0" xfId="0" applyNumberFormat="1"/>
    <xf numFmtId="37" fontId="0" fillId="0" borderId="0" xfId="0" applyNumberFormat="1"/>
    <xf numFmtId="43" fontId="0" fillId="0" borderId="0" xfId="4" applyFont="1"/>
    <xf numFmtId="9" fontId="5" fillId="0" borderId="0" xfId="0" applyNumberFormat="1" applyFont="1"/>
    <xf numFmtId="9" fontId="5" fillId="7" borderId="1" xfId="0" applyNumberFormat="1" applyFont="1" applyFill="1" applyBorder="1"/>
    <xf numFmtId="43" fontId="0" fillId="0" borderId="0" xfId="0" applyNumberFormat="1"/>
    <xf numFmtId="9" fontId="5" fillId="0" borderId="0" xfId="1" applyFont="1"/>
    <xf numFmtId="169" fontId="0" fillId="0" borderId="0" xfId="0" applyNumberFormat="1"/>
    <xf numFmtId="170" fontId="0" fillId="0" borderId="0" xfId="0" applyNumberFormat="1"/>
    <xf numFmtId="169" fontId="9" fillId="0" borderId="0" xfId="0" applyNumberFormat="1" applyFont="1" applyAlignment="1">
      <alignment horizontal="center"/>
    </xf>
    <xf numFmtId="10" fontId="0" fillId="0" borderId="0" xfId="1" applyNumberFormat="1" applyFont="1"/>
    <xf numFmtId="172" fontId="0" fillId="0" borderId="0" xfId="0" applyNumberFormat="1"/>
    <xf numFmtId="10" fontId="0" fillId="0" borderId="0" xfId="1" applyNumberFormat="1" applyFont="1" applyFill="1"/>
    <xf numFmtId="171" fontId="0" fillId="0" borderId="0" xfId="0" applyNumberFormat="1"/>
    <xf numFmtId="43" fontId="13" fillId="0" borderId="0" xfId="4" applyFont="1" applyFill="1"/>
    <xf numFmtId="174" fontId="0" fillId="0" borderId="0" xfId="0" applyNumberFormat="1"/>
    <xf numFmtId="43" fontId="0" fillId="0" borderId="0" xfId="4" applyFont="1" applyFill="1"/>
    <xf numFmtId="10" fontId="0" fillId="0" borderId="0" xfId="4" applyNumberFormat="1" applyFont="1" applyFill="1"/>
    <xf numFmtId="0" fontId="1" fillId="12" borderId="1" xfId="2" applyFill="1" applyBorder="1"/>
    <xf numFmtId="0" fontId="0" fillId="12" borderId="1" xfId="0" applyFill="1" applyBorder="1"/>
    <xf numFmtId="17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14" borderId="22" xfId="7" applyFont="1"/>
    <xf numFmtId="0" fontId="6" fillId="14" borderId="36" xfId="7" applyFont="1" applyBorder="1" applyAlignment="1">
      <alignment horizontal="center"/>
    </xf>
    <xf numFmtId="164" fontId="8" fillId="14" borderId="22" xfId="7" applyNumberFormat="1" applyFont="1" applyAlignment="1">
      <alignment horizontal="center" vertical="top"/>
    </xf>
    <xf numFmtId="0" fontId="5" fillId="14" borderId="38" xfId="7" applyFont="1" applyBorder="1"/>
    <xf numFmtId="37" fontId="8" fillId="14" borderId="22" xfId="7" applyNumberFormat="1" applyFont="1" applyAlignment="1">
      <alignment horizontal="center" vertical="top"/>
    </xf>
    <xf numFmtId="0" fontId="5" fillId="14" borderId="22" xfId="7" applyFont="1" applyAlignment="1">
      <alignment horizontal="center"/>
    </xf>
    <xf numFmtId="0" fontId="0" fillId="14" borderId="39" xfId="7" applyFont="1" applyBorder="1"/>
    <xf numFmtId="0" fontId="7" fillId="14" borderId="43" xfId="7" applyFont="1" applyBorder="1" applyAlignment="1">
      <alignment vertical="top" wrapText="1"/>
    </xf>
    <xf numFmtId="0" fontId="8" fillId="14" borderId="44" xfId="7" applyFont="1" applyBorder="1" applyAlignment="1">
      <alignment vertical="top" wrapText="1"/>
    </xf>
    <xf numFmtId="0" fontId="7" fillId="14" borderId="44" xfId="7" applyFont="1" applyBorder="1" applyAlignment="1">
      <alignment vertical="top" wrapText="1"/>
    </xf>
    <xf numFmtId="0" fontId="5" fillId="14" borderId="44" xfId="7" applyFont="1" applyBorder="1"/>
    <xf numFmtId="0" fontId="8" fillId="14" borderId="45" xfId="7" applyFont="1" applyBorder="1" applyAlignment="1">
      <alignment horizontal="left" vertical="top" wrapText="1"/>
    </xf>
    <xf numFmtId="9" fontId="9" fillId="0" borderId="2" xfId="1" applyFont="1" applyBorder="1" applyAlignment="1">
      <alignment horizontal="center"/>
    </xf>
    <xf numFmtId="0" fontId="6" fillId="14" borderId="35" xfId="7" applyFont="1" applyBorder="1" applyAlignment="1">
      <alignment horizontal="center"/>
    </xf>
    <xf numFmtId="0" fontId="5" fillId="14" borderId="37" xfId="7" applyFont="1" applyBorder="1"/>
    <xf numFmtId="0" fontId="5" fillId="14" borderId="38" xfId="7" applyFont="1" applyBorder="1" applyAlignment="1">
      <alignment horizontal="center"/>
    </xf>
    <xf numFmtId="0" fontId="8" fillId="14" borderId="22" xfId="7" applyFont="1" applyAlignment="1">
      <alignment horizontal="center" vertical="top" wrapText="1"/>
    </xf>
    <xf numFmtId="0" fontId="5" fillId="14" borderId="39" xfId="7" applyFont="1" applyBorder="1"/>
    <xf numFmtId="164" fontId="8" fillId="14" borderId="38" xfId="7" applyNumberFormat="1" applyFont="1" applyBorder="1" applyAlignment="1">
      <alignment horizontal="center" vertical="top"/>
    </xf>
    <xf numFmtId="37" fontId="8" fillId="14" borderId="38" xfId="7" applyNumberFormat="1" applyFont="1" applyBorder="1" applyAlignment="1">
      <alignment horizontal="center" vertical="top"/>
    </xf>
    <xf numFmtId="37" fontId="8" fillId="14" borderId="22" xfId="7" applyNumberFormat="1" applyFont="1" applyAlignment="1">
      <alignment horizontal="center" vertical="center"/>
    </xf>
    <xf numFmtId="0" fontId="5" fillId="14" borderId="38" xfId="7" applyFont="1" applyBorder="1" applyAlignment="1">
      <alignment horizontal="center" vertical="center"/>
    </xf>
    <xf numFmtId="37" fontId="8" fillId="14" borderId="40" xfId="7" applyNumberFormat="1" applyFont="1" applyBorder="1" applyAlignment="1">
      <alignment horizontal="center" vertical="top"/>
    </xf>
    <xf numFmtId="37" fontId="8" fillId="14" borderId="41" xfId="7" applyNumberFormat="1" applyFont="1" applyBorder="1" applyAlignment="1">
      <alignment horizontal="center" vertical="top"/>
    </xf>
    <xf numFmtId="0" fontId="5" fillId="14" borderId="42" xfId="7" applyFont="1" applyBorder="1"/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37" fontId="8" fillId="14" borderId="35" xfId="7" applyNumberFormat="1" applyFont="1" applyBorder="1" applyAlignment="1">
      <alignment horizontal="center" vertical="top"/>
    </xf>
    <xf numFmtId="37" fontId="8" fillId="14" borderId="36" xfId="7" applyNumberFormat="1" applyFont="1" applyBorder="1" applyAlignment="1">
      <alignment horizontal="center" vertical="top"/>
    </xf>
    <xf numFmtId="0" fontId="5" fillId="14" borderId="37" xfId="7" applyFont="1" applyBorder="1" applyAlignment="1">
      <alignment horizontal="left"/>
    </xf>
    <xf numFmtId="0" fontId="5" fillId="14" borderId="39" xfId="7" applyFont="1" applyBorder="1" applyAlignment="1">
      <alignment horizontal="left"/>
    </xf>
    <xf numFmtId="3" fontId="5" fillId="14" borderId="38" xfId="7" applyNumberFormat="1" applyFont="1" applyBorder="1" applyAlignment="1">
      <alignment horizontal="center"/>
    </xf>
    <xf numFmtId="165" fontId="8" fillId="14" borderId="38" xfId="7" applyNumberFormat="1" applyFont="1" applyBorder="1" applyAlignment="1">
      <alignment horizontal="center" vertical="top"/>
    </xf>
    <xf numFmtId="165" fontId="8" fillId="14" borderId="22" xfId="7" applyNumberFormat="1" applyFont="1" applyAlignment="1">
      <alignment horizontal="center" vertical="top"/>
    </xf>
    <xf numFmtId="0" fontId="5" fillId="14" borderId="42" xfId="7" applyFont="1" applyBorder="1" applyAlignment="1">
      <alignment horizontal="left"/>
    </xf>
    <xf numFmtId="0" fontId="8" fillId="14" borderId="43" xfId="7" applyFont="1" applyBorder="1" applyAlignment="1">
      <alignment horizontal="left" vertical="top" wrapText="1"/>
    </xf>
    <xf numFmtId="0" fontId="8" fillId="14" borderId="44" xfId="7" applyFont="1" applyBorder="1" applyAlignment="1">
      <alignment horizontal="left" vertical="top" wrapText="1"/>
    </xf>
    <xf numFmtId="0" fontId="7" fillId="0" borderId="0" xfId="3" applyFont="1" applyAlignment="1">
      <alignment horizontal="right" vertical="top"/>
    </xf>
    <xf numFmtId="0" fontId="5" fillId="14" borderId="44" xfId="7" applyFont="1" applyBorder="1" applyAlignment="1">
      <alignment horizontal="left"/>
    </xf>
    <xf numFmtId="0" fontId="0" fillId="14" borderId="37" xfId="7" applyFont="1" applyBorder="1"/>
    <xf numFmtId="0" fontId="8" fillId="14" borderId="38" xfId="7" applyFont="1" applyBorder="1" applyAlignment="1">
      <alignment horizontal="center" vertical="top" wrapText="1"/>
    </xf>
    <xf numFmtId="37" fontId="7" fillId="14" borderId="38" xfId="7" applyNumberFormat="1" applyFont="1" applyBorder="1" applyAlignment="1">
      <alignment horizontal="center" vertical="top"/>
    </xf>
    <xf numFmtId="37" fontId="7" fillId="14" borderId="22" xfId="7" applyNumberFormat="1" applyFont="1" applyAlignment="1">
      <alignment horizontal="center" vertical="top"/>
    </xf>
    <xf numFmtId="37" fontId="9" fillId="14" borderId="40" xfId="7" applyNumberFormat="1" applyFont="1" applyBorder="1" applyAlignment="1">
      <alignment horizontal="center"/>
    </xf>
    <xf numFmtId="37" fontId="9" fillId="14" borderId="41" xfId="7" applyNumberFormat="1" applyFont="1" applyBorder="1" applyAlignment="1">
      <alignment horizontal="center"/>
    </xf>
    <xf numFmtId="0" fontId="0" fillId="14" borderId="42" xfId="7" applyFont="1" applyBorder="1"/>
    <xf numFmtId="0" fontId="7" fillId="14" borderId="45" xfId="7" applyFont="1" applyBorder="1" applyAlignment="1">
      <alignment vertical="top" wrapText="1"/>
    </xf>
    <xf numFmtId="0" fontId="12" fillId="15" borderId="46" xfId="0" applyFont="1" applyFill="1" applyBorder="1"/>
    <xf numFmtId="0" fontId="5" fillId="4" borderId="1" xfId="0" applyFont="1" applyFill="1" applyBorder="1" applyAlignment="1">
      <alignment wrapText="1"/>
    </xf>
    <xf numFmtId="0" fontId="5" fillId="4" borderId="3" xfId="0" applyFont="1" applyFill="1" applyBorder="1" applyAlignment="1">
      <alignment wrapText="1"/>
    </xf>
    <xf numFmtId="0" fontId="5" fillId="4" borderId="4" xfId="0" applyFont="1" applyFill="1" applyBorder="1"/>
    <xf numFmtId="10" fontId="9" fillId="0" borderId="0" xfId="0" applyNumberFormat="1" applyFont="1" applyAlignment="1">
      <alignment horizontal="center"/>
    </xf>
    <xf numFmtId="0" fontId="5" fillId="4" borderId="2" xfId="0" applyFont="1" applyFill="1" applyBorder="1"/>
    <xf numFmtId="0" fontId="5" fillId="4" borderId="1" xfId="0" applyFont="1" applyFill="1" applyBorder="1"/>
    <xf numFmtId="0" fontId="16" fillId="14" borderId="35" xfId="7" applyFont="1" applyBorder="1"/>
    <xf numFmtId="0" fontId="17" fillId="14" borderId="36" xfId="7" applyFont="1" applyBorder="1" applyAlignment="1">
      <alignment horizontal="center"/>
    </xf>
    <xf numFmtId="0" fontId="17" fillId="14" borderId="37" xfId="7" applyFont="1" applyBorder="1" applyAlignment="1">
      <alignment horizontal="center"/>
    </xf>
    <xf numFmtId="0" fontId="16" fillId="14" borderId="38" xfId="7" applyFont="1" applyBorder="1"/>
    <xf numFmtId="164" fontId="18" fillId="14" borderId="22" xfId="7" applyNumberFormat="1" applyFont="1" applyAlignment="1">
      <alignment horizontal="center" vertical="top"/>
    </xf>
    <xf numFmtId="164" fontId="18" fillId="14" borderId="39" xfId="7" applyNumberFormat="1" applyFont="1" applyBorder="1" applyAlignment="1">
      <alignment horizontal="center" vertical="top"/>
    </xf>
    <xf numFmtId="37" fontId="16" fillId="14" borderId="22" xfId="7" applyNumberFormat="1" applyFont="1" applyAlignment="1">
      <alignment horizontal="center"/>
    </xf>
    <xf numFmtId="37" fontId="16" fillId="14" borderId="39" xfId="7" applyNumberFormat="1" applyFont="1" applyBorder="1" applyAlignment="1">
      <alignment horizontal="center"/>
    </xf>
    <xf numFmtId="37" fontId="18" fillId="14" borderId="22" xfId="7" applyNumberFormat="1" applyFont="1" applyAlignment="1">
      <alignment horizontal="center" vertical="top"/>
    </xf>
    <xf numFmtId="37" fontId="18" fillId="14" borderId="39" xfId="7" applyNumberFormat="1" applyFont="1" applyBorder="1" applyAlignment="1">
      <alignment horizontal="center" vertical="top"/>
    </xf>
    <xf numFmtId="0" fontId="19" fillId="14" borderId="38" xfId="7" applyFont="1" applyBorder="1"/>
    <xf numFmtId="37" fontId="19" fillId="14" borderId="22" xfId="7" applyNumberFormat="1" applyFont="1" applyAlignment="1">
      <alignment horizontal="center"/>
    </xf>
    <xf numFmtId="37" fontId="19" fillId="14" borderId="39" xfId="7" applyNumberFormat="1" applyFont="1" applyBorder="1" applyAlignment="1">
      <alignment horizontal="center"/>
    </xf>
    <xf numFmtId="0" fontId="16" fillId="14" borderId="22" xfId="7" applyFont="1" applyAlignment="1">
      <alignment horizontal="center"/>
    </xf>
    <xf numFmtId="0" fontId="16" fillId="14" borderId="39" xfId="7" applyFont="1" applyBorder="1" applyAlignment="1">
      <alignment horizontal="center"/>
    </xf>
    <xf numFmtId="0" fontId="16" fillId="14" borderId="22" xfId="7" applyFont="1"/>
    <xf numFmtId="0" fontId="16" fillId="14" borderId="39" xfId="7" applyFont="1" applyBorder="1"/>
    <xf numFmtId="0" fontId="19" fillId="14" borderId="40" xfId="7" applyFont="1" applyBorder="1"/>
    <xf numFmtId="37" fontId="19" fillId="14" borderId="41" xfId="7" applyNumberFormat="1" applyFont="1" applyBorder="1" applyAlignment="1">
      <alignment horizontal="center"/>
    </xf>
    <xf numFmtId="37" fontId="19" fillId="14" borderId="42" xfId="7" applyNumberFormat="1" applyFont="1" applyBorder="1" applyAlignment="1">
      <alignment horizontal="center"/>
    </xf>
    <xf numFmtId="0" fontId="16" fillId="0" borderId="0" xfId="0" applyFont="1"/>
    <xf numFmtId="10" fontId="19" fillId="0" borderId="0" xfId="0" applyNumberFormat="1" applyFont="1" applyAlignment="1">
      <alignment horizontal="center"/>
    </xf>
    <xf numFmtId="0" fontId="19" fillId="3" borderId="1" xfId="0" applyFont="1" applyFill="1" applyBorder="1"/>
    <xf numFmtId="10" fontId="19" fillId="3" borderId="1" xfId="0" applyNumberFormat="1" applyFont="1" applyFill="1" applyBorder="1"/>
    <xf numFmtId="0" fontId="16" fillId="5" borderId="1" xfId="1" applyNumberFormat="1" applyFont="1" applyFill="1" applyBorder="1"/>
    <xf numFmtId="10" fontId="16" fillId="5" borderId="1" xfId="0" applyNumberFormat="1" applyFont="1" applyFill="1" applyBorder="1"/>
    <xf numFmtId="14" fontId="16" fillId="0" borderId="0" xfId="0" applyNumberFormat="1" applyFont="1"/>
    <xf numFmtId="168" fontId="16" fillId="0" borderId="0" xfId="0" applyNumberFormat="1" applyFont="1"/>
    <xf numFmtId="0" fontId="19" fillId="0" borderId="0" xfId="0" applyFont="1"/>
    <xf numFmtId="0" fontId="21" fillId="0" borderId="0" xfId="0" applyFont="1"/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/>
    </xf>
    <xf numFmtId="14" fontId="22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14" fontId="23" fillId="0" borderId="0" xfId="0" applyNumberFormat="1" applyFont="1"/>
    <xf numFmtId="0" fontId="23" fillId="0" borderId="0" xfId="0" applyFont="1"/>
    <xf numFmtId="0" fontId="24" fillId="10" borderId="17" xfId="0" applyFont="1" applyFill="1" applyBorder="1" applyAlignment="1">
      <alignment horizontal="centerContinuous"/>
    </xf>
    <xf numFmtId="0" fontId="24" fillId="10" borderId="21" xfId="0" applyFont="1" applyFill="1" applyBorder="1" applyAlignment="1">
      <alignment horizontal="centerContinuous"/>
    </xf>
    <xf numFmtId="0" fontId="16" fillId="10" borderId="8" xfId="0" applyFont="1" applyFill="1" applyBorder="1"/>
    <xf numFmtId="0" fontId="16" fillId="10" borderId="1" xfId="0" applyFont="1" applyFill="1" applyBorder="1"/>
    <xf numFmtId="10" fontId="16" fillId="10" borderId="1" xfId="0" applyNumberFormat="1" applyFont="1" applyFill="1" applyBorder="1"/>
    <xf numFmtId="0" fontId="16" fillId="10" borderId="9" xfId="0" applyFont="1" applyFill="1" applyBorder="1"/>
    <xf numFmtId="0" fontId="16" fillId="10" borderId="10" xfId="0" applyFont="1" applyFill="1" applyBorder="1"/>
    <xf numFmtId="0" fontId="16" fillId="10" borderId="0" xfId="0" applyFont="1" applyFill="1"/>
    <xf numFmtId="9" fontId="16" fillId="10" borderId="0" xfId="0" applyNumberFormat="1" applyFont="1" applyFill="1"/>
    <xf numFmtId="0" fontId="16" fillId="10" borderId="11" xfId="0" applyFont="1" applyFill="1" applyBorder="1"/>
    <xf numFmtId="0" fontId="16" fillId="10" borderId="13" xfId="0" applyFont="1" applyFill="1" applyBorder="1"/>
    <xf numFmtId="0" fontId="16" fillId="10" borderId="5" xfId="0" applyFont="1" applyFill="1" applyBorder="1"/>
    <xf numFmtId="0" fontId="24" fillId="10" borderId="12" xfId="0" applyFont="1" applyFill="1" applyBorder="1" applyAlignment="1">
      <alignment horizontal="center"/>
    </xf>
    <xf numFmtId="0" fontId="24" fillId="10" borderId="6" xfId="0" applyFont="1" applyFill="1" applyBorder="1" applyAlignment="1">
      <alignment horizontal="center"/>
    </xf>
    <xf numFmtId="0" fontId="24" fillId="10" borderId="14" xfId="0" applyFont="1" applyFill="1" applyBorder="1" applyAlignment="1">
      <alignment horizontal="center"/>
    </xf>
    <xf numFmtId="0" fontId="16" fillId="10" borderId="15" xfId="0" applyFont="1" applyFill="1" applyBorder="1"/>
    <xf numFmtId="0" fontId="16" fillId="10" borderId="7" xfId="0" applyFont="1" applyFill="1" applyBorder="1"/>
    <xf numFmtId="0" fontId="16" fillId="10" borderId="16" xfId="0" applyFont="1" applyFill="1" applyBorder="1"/>
    <xf numFmtId="0" fontId="16" fillId="0" borderId="1" xfId="0" applyFont="1" applyBorder="1"/>
    <xf numFmtId="10" fontId="16" fillId="0" borderId="1" xfId="0" applyNumberFormat="1" applyFont="1" applyBorder="1"/>
    <xf numFmtId="10" fontId="16" fillId="0" borderId="0" xfId="0" applyNumberFormat="1" applyFont="1"/>
    <xf numFmtId="14" fontId="22" fillId="8" borderId="0" xfId="0" applyNumberFormat="1" applyFont="1" applyFill="1" applyAlignment="1">
      <alignment horizontal="center"/>
    </xf>
    <xf numFmtId="0" fontId="22" fillId="8" borderId="0" xfId="0" applyFont="1" applyFill="1" applyAlignment="1">
      <alignment horizontal="center"/>
    </xf>
    <xf numFmtId="14" fontId="23" fillId="9" borderId="0" xfId="0" applyNumberFormat="1" applyFont="1" applyFill="1" applyAlignment="1">
      <alignment horizontal="left"/>
    </xf>
    <xf numFmtId="4" fontId="23" fillId="9" borderId="0" xfId="0" applyNumberFormat="1" applyFont="1" applyFill="1"/>
    <xf numFmtId="14" fontId="23" fillId="0" borderId="0" xfId="0" applyNumberFormat="1" applyFont="1" applyAlignment="1">
      <alignment horizontal="left"/>
    </xf>
    <xf numFmtId="4" fontId="23" fillId="0" borderId="0" xfId="0" applyNumberFormat="1" applyFont="1"/>
    <xf numFmtId="14" fontId="22" fillId="0" borderId="19" xfId="0" applyNumberFormat="1" applyFont="1" applyBorder="1" applyAlignment="1">
      <alignment horizontal="center"/>
    </xf>
    <xf numFmtId="0" fontId="22" fillId="0" borderId="19" xfId="0" applyFont="1" applyBorder="1" applyAlignment="1">
      <alignment horizontal="center"/>
    </xf>
    <xf numFmtId="14" fontId="23" fillId="0" borderId="20" xfId="0" applyNumberFormat="1" applyFont="1" applyBorder="1" applyAlignment="1">
      <alignment horizontal="left"/>
    </xf>
    <xf numFmtId="4" fontId="23" fillId="0" borderId="20" xfId="0" applyNumberFormat="1" applyFont="1" applyBorder="1"/>
    <xf numFmtId="0" fontId="9" fillId="15" borderId="47" xfId="0" applyFont="1" applyFill="1" applyBorder="1"/>
    <xf numFmtId="167" fontId="9" fillId="15" borderId="48" xfId="0" applyNumberFormat="1" applyFont="1" applyFill="1" applyBorder="1"/>
    <xf numFmtId="37" fontId="16" fillId="0" borderId="1" xfId="0" applyNumberFormat="1" applyFont="1" applyBorder="1" applyAlignment="1">
      <alignment horizontal="center"/>
    </xf>
    <xf numFmtId="9" fontId="16" fillId="0" borderId="1" xfId="0" applyNumberFormat="1" applyFont="1" applyBorder="1" applyAlignment="1">
      <alignment horizontal="center"/>
    </xf>
    <xf numFmtId="0" fontId="19" fillId="7" borderId="1" xfId="0" applyFont="1" applyFill="1" applyBorder="1"/>
    <xf numFmtId="166" fontId="19" fillId="7" borderId="1" xfId="0" applyNumberFormat="1" applyFont="1" applyFill="1" applyBorder="1" applyAlignment="1">
      <alignment horizontal="center"/>
    </xf>
    <xf numFmtId="10" fontId="16" fillId="0" borderId="1" xfId="0" applyNumberFormat="1" applyFont="1" applyBorder="1" applyAlignment="1">
      <alignment horizontal="center"/>
    </xf>
    <xf numFmtId="168" fontId="16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43" fontId="19" fillId="7" borderId="1" xfId="4" applyFont="1" applyFill="1" applyBorder="1" applyAlignment="1">
      <alignment horizontal="center" vertical="center"/>
    </xf>
    <xf numFmtId="43" fontId="19" fillId="7" borderId="1" xfId="4" applyFont="1" applyFill="1" applyBorder="1" applyAlignment="1"/>
    <xf numFmtId="0" fontId="19" fillId="7" borderId="17" xfId="0" applyFont="1" applyFill="1" applyBorder="1"/>
    <xf numFmtId="166" fontId="19" fillId="7" borderId="18" xfId="1" applyNumberFormat="1" applyFont="1" applyFill="1" applyBorder="1" applyAlignment="1">
      <alignment horizontal="center"/>
    </xf>
    <xf numFmtId="0" fontId="25" fillId="0" borderId="0" xfId="0" applyFont="1"/>
    <xf numFmtId="9" fontId="16" fillId="0" borderId="0" xfId="0" applyNumberFormat="1" applyFont="1"/>
    <xf numFmtId="43" fontId="16" fillId="0" borderId="0" xfId="4" applyFont="1"/>
    <xf numFmtId="3" fontId="16" fillId="0" borderId="0" xfId="0" applyNumberFormat="1" applyFont="1"/>
    <xf numFmtId="43" fontId="16" fillId="0" borderId="0" xfId="0" applyNumberFormat="1" applyFont="1"/>
    <xf numFmtId="0" fontId="26" fillId="0" borderId="0" xfId="0" applyFont="1" applyAlignment="1">
      <alignment horizontal="center"/>
    </xf>
    <xf numFmtId="0" fontId="26" fillId="0" borderId="0" xfId="0" applyFont="1"/>
    <xf numFmtId="37" fontId="16" fillId="0" borderId="0" xfId="0" applyNumberFormat="1" applyFont="1"/>
    <xf numFmtId="0" fontId="27" fillId="0" borderId="0" xfId="0" applyFont="1"/>
    <xf numFmtId="3" fontId="5" fillId="0" borderId="0" xfId="0" applyNumberFormat="1" applyFont="1" applyAlignment="1">
      <alignment horizontal="center"/>
    </xf>
    <xf numFmtId="164" fontId="8" fillId="0" borderId="0" xfId="7" applyNumberFormat="1" applyFont="1" applyFill="1" applyBorder="1" applyAlignment="1">
      <alignment horizontal="center" vertical="top"/>
    </xf>
    <xf numFmtId="164" fontId="8" fillId="0" borderId="0" xfId="7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5" fillId="0" borderId="0" xfId="8"/>
    <xf numFmtId="0" fontId="0" fillId="0" borderId="0" xfId="0" applyAlignment="1">
      <alignment horizontal="justify" vertical="center"/>
    </xf>
    <xf numFmtId="0" fontId="17" fillId="0" borderId="0" xfId="0" applyFont="1"/>
    <xf numFmtId="173" fontId="16" fillId="0" borderId="0" xfId="0" applyNumberFormat="1" applyFont="1"/>
    <xf numFmtId="4" fontId="0" fillId="0" borderId="0" xfId="0" applyNumberFormat="1"/>
    <xf numFmtId="0" fontId="12" fillId="14" borderId="22" xfId="7" applyFont="1"/>
    <xf numFmtId="0" fontId="0" fillId="14" borderId="22" xfId="7" applyFont="1"/>
    <xf numFmtId="10" fontId="0" fillId="14" borderId="22" xfId="7" applyNumberFormat="1" applyFont="1"/>
    <xf numFmtId="14" fontId="0" fillId="14" borderId="22" xfId="7" applyNumberFormat="1" applyFont="1"/>
    <xf numFmtId="0" fontId="31" fillId="14" borderId="22" xfId="7" applyFont="1"/>
    <xf numFmtId="0" fontId="19" fillId="14" borderId="22" xfId="7" applyFont="1"/>
    <xf numFmtId="0" fontId="32" fillId="14" borderId="22" xfId="7" applyFont="1"/>
    <xf numFmtId="0" fontId="32" fillId="14" borderId="30" xfId="7" applyFont="1" applyBorder="1"/>
    <xf numFmtId="10" fontId="0" fillId="14" borderId="30" xfId="7" applyNumberFormat="1" applyFont="1" applyBorder="1"/>
    <xf numFmtId="14" fontId="0" fillId="14" borderId="30" xfId="7" applyNumberFormat="1" applyFont="1" applyBorder="1"/>
    <xf numFmtId="0" fontId="0" fillId="14" borderId="30" xfId="7" applyFont="1" applyBorder="1"/>
    <xf numFmtId="0" fontId="32" fillId="14" borderId="31" xfId="7" applyFont="1" applyBorder="1"/>
    <xf numFmtId="166" fontId="0" fillId="14" borderId="31" xfId="7" applyNumberFormat="1" applyFont="1" applyBorder="1"/>
    <xf numFmtId="14" fontId="0" fillId="14" borderId="31" xfId="7" applyNumberFormat="1" applyFont="1" applyBorder="1"/>
    <xf numFmtId="0" fontId="0" fillId="14" borderId="31" xfId="7" applyFont="1" applyBorder="1"/>
    <xf numFmtId="0" fontId="32" fillId="14" borderId="32" xfId="7" applyFont="1" applyBorder="1"/>
    <xf numFmtId="9" fontId="0" fillId="14" borderId="33" xfId="7" applyNumberFormat="1" applyFont="1" applyBorder="1"/>
    <xf numFmtId="14" fontId="0" fillId="14" borderId="33" xfId="7" applyNumberFormat="1" applyFont="1" applyBorder="1"/>
    <xf numFmtId="0" fontId="0" fillId="14" borderId="33" xfId="7" applyFont="1" applyBorder="1"/>
    <xf numFmtId="0" fontId="31" fillId="14" borderId="33" xfId="7" applyFont="1" applyBorder="1"/>
    <xf numFmtId="0" fontId="30" fillId="14" borderId="33" xfId="7" applyFont="1" applyBorder="1"/>
    <xf numFmtId="0" fontId="31" fillId="14" borderId="34" xfId="7" applyFont="1" applyBorder="1"/>
    <xf numFmtId="0" fontId="20" fillId="0" borderId="0" xfId="6" applyFont="1" applyFill="1" applyBorder="1"/>
    <xf numFmtId="173" fontId="20" fillId="0" borderId="0" xfId="6" applyNumberFormat="1" applyFont="1" applyFill="1" applyBorder="1"/>
    <xf numFmtId="43" fontId="20" fillId="0" borderId="0" xfId="6" applyNumberFormat="1" applyFont="1" applyFill="1" applyBorder="1"/>
    <xf numFmtId="176" fontId="20" fillId="0" borderId="0" xfId="6" applyNumberFormat="1" applyFont="1" applyFill="1" applyBorder="1"/>
    <xf numFmtId="9" fontId="20" fillId="0" borderId="0" xfId="6" applyNumberFormat="1" applyFont="1" applyFill="1" applyBorder="1"/>
    <xf numFmtId="0" fontId="16" fillId="0" borderId="0" xfId="5" applyFont="1" applyFill="1"/>
    <xf numFmtId="166" fontId="16" fillId="0" borderId="0" xfId="5" applyNumberFormat="1" applyFont="1" applyFill="1"/>
    <xf numFmtId="10" fontId="16" fillId="0" borderId="0" xfId="5" applyNumberFormat="1" applyFont="1" applyFill="1"/>
    <xf numFmtId="0" fontId="33" fillId="0" borderId="0" xfId="0" applyFont="1"/>
    <xf numFmtId="0" fontId="26" fillId="0" borderId="23" xfId="0" applyFont="1" applyBorder="1"/>
    <xf numFmtId="0" fontId="26" fillId="0" borderId="24" xfId="0" applyFont="1" applyBorder="1" applyAlignment="1">
      <alignment horizontal="center"/>
    </xf>
    <xf numFmtId="0" fontId="26" fillId="0" borderId="25" xfId="0" applyFont="1" applyBorder="1" applyAlignment="1">
      <alignment horizontal="center"/>
    </xf>
    <xf numFmtId="0" fontId="26" fillId="0" borderId="26" xfId="0" applyFont="1" applyBorder="1"/>
    <xf numFmtId="37" fontId="33" fillId="0" borderId="0" xfId="0" applyNumberFormat="1" applyFont="1"/>
    <xf numFmtId="0" fontId="33" fillId="10" borderId="0" xfId="0" applyFont="1" applyFill="1"/>
    <xf numFmtId="0" fontId="33" fillId="10" borderId="27" xfId="0" applyFont="1" applyFill="1" applyBorder="1"/>
    <xf numFmtId="0" fontId="33" fillId="0" borderId="27" xfId="0" applyFont="1" applyBorder="1"/>
    <xf numFmtId="0" fontId="26" fillId="0" borderId="28" xfId="0" applyFont="1" applyBorder="1"/>
    <xf numFmtId="0" fontId="33" fillId="0" borderId="5" xfId="0" applyFont="1" applyBorder="1"/>
    <xf numFmtId="0" fontId="33" fillId="6" borderId="5" xfId="0" applyFont="1" applyFill="1" applyBorder="1"/>
    <xf numFmtId="0" fontId="33" fillId="0" borderId="29" xfId="0" applyFont="1" applyBorder="1"/>
    <xf numFmtId="0" fontId="34" fillId="16" borderId="23" xfId="10" applyFont="1" applyBorder="1"/>
    <xf numFmtId="10" fontId="34" fillId="16" borderId="25" xfId="10" applyNumberFormat="1" applyFont="1" applyBorder="1"/>
    <xf numFmtId="0" fontId="34" fillId="16" borderId="26" xfId="10" applyFont="1" applyBorder="1"/>
    <xf numFmtId="10" fontId="34" fillId="16" borderId="27" xfId="10" applyNumberFormat="1" applyFont="1" applyBorder="1"/>
    <xf numFmtId="0" fontId="34" fillId="16" borderId="28" xfId="10" applyFont="1" applyBorder="1"/>
    <xf numFmtId="10" fontId="34" fillId="16" borderId="29" xfId="10" applyNumberFormat="1" applyFont="1" applyBorder="1"/>
    <xf numFmtId="0" fontId="35" fillId="17" borderId="23" xfId="6" applyFont="1" applyFill="1" applyBorder="1"/>
    <xf numFmtId="173" fontId="25" fillId="17" borderId="25" xfId="9" applyNumberFormat="1" applyFont="1" applyFill="1" applyBorder="1"/>
    <xf numFmtId="0" fontId="35" fillId="17" borderId="26" xfId="6" applyFont="1" applyFill="1" applyBorder="1"/>
    <xf numFmtId="37" fontId="25" fillId="17" borderId="27" xfId="0" applyNumberFormat="1" applyFont="1" applyFill="1" applyBorder="1"/>
    <xf numFmtId="173" fontId="25" fillId="17" borderId="27" xfId="0" applyNumberFormat="1" applyFont="1" applyFill="1" applyBorder="1"/>
    <xf numFmtId="0" fontId="25" fillId="17" borderId="27" xfId="0" applyFont="1" applyFill="1" applyBorder="1"/>
    <xf numFmtId="173" fontId="25" fillId="17" borderId="27" xfId="9" applyNumberFormat="1" applyFont="1" applyFill="1" applyBorder="1"/>
    <xf numFmtId="0" fontId="35" fillId="17" borderId="28" xfId="6" applyFont="1" applyFill="1" applyBorder="1"/>
    <xf numFmtId="9" fontId="25" fillId="17" borderId="29" xfId="1" applyFont="1" applyFill="1" applyBorder="1"/>
    <xf numFmtId="0" fontId="36" fillId="14" borderId="22" xfId="7" applyFont="1" applyAlignment="1"/>
    <xf numFmtId="0" fontId="25" fillId="14" borderId="22" xfId="7" applyFont="1"/>
    <xf numFmtId="37" fontId="25" fillId="14" borderId="22" xfId="7" applyNumberFormat="1" applyFont="1"/>
    <xf numFmtId="10" fontId="25" fillId="14" borderId="22" xfId="7" applyNumberFormat="1" applyFont="1"/>
    <xf numFmtId="43" fontId="25" fillId="14" borderId="22" xfId="7" applyNumberFormat="1" applyFont="1"/>
    <xf numFmtId="43" fontId="4" fillId="0" borderId="0" xfId="3" applyNumberFormat="1">
      <alignment vertical="top"/>
    </xf>
    <xf numFmtId="10" fontId="4" fillId="0" borderId="0" xfId="3" applyNumberFormat="1">
      <alignment vertical="top"/>
    </xf>
    <xf numFmtId="168" fontId="4" fillId="0" borderId="0" xfId="3" applyNumberFormat="1">
      <alignment vertical="top"/>
    </xf>
    <xf numFmtId="177" fontId="16" fillId="0" borderId="0" xfId="0" applyNumberFormat="1" applyFont="1"/>
    <xf numFmtId="10" fontId="20" fillId="0" borderId="0" xfId="6" applyNumberFormat="1" applyFont="1" applyFill="1" applyBorder="1"/>
    <xf numFmtId="9" fontId="4" fillId="0" borderId="0" xfId="3" applyNumberFormat="1">
      <alignment vertical="top"/>
    </xf>
    <xf numFmtId="0" fontId="20" fillId="0" borderId="0" xfId="1" applyNumberFormat="1" applyFont="1" applyFill="1" applyBorder="1"/>
    <xf numFmtId="0" fontId="20" fillId="0" borderId="0" xfId="6" applyNumberFormat="1" applyFont="1" applyFill="1" applyBorder="1"/>
    <xf numFmtId="43" fontId="25" fillId="0" borderId="0" xfId="7" applyNumberFormat="1" applyFont="1" applyFill="1" applyBorder="1"/>
    <xf numFmtId="178" fontId="25" fillId="14" borderId="22" xfId="7" applyNumberFormat="1" applyFont="1"/>
    <xf numFmtId="0" fontId="1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/>
    </xf>
    <xf numFmtId="0" fontId="29" fillId="0" borderId="0" xfId="8" applyFont="1" applyAlignment="1">
      <alignment horizontal="center"/>
    </xf>
    <xf numFmtId="0" fontId="29" fillId="0" borderId="0" xfId="8" applyFont="1" applyFill="1" applyAlignment="1">
      <alignment horizontal="center"/>
    </xf>
    <xf numFmtId="0" fontId="19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14" borderId="22" xfId="7" applyFont="1" applyAlignment="1">
      <alignment horizontal="center"/>
    </xf>
  </cellXfs>
  <cellStyles count="11">
    <cellStyle name="40% - Accent2" xfId="5" builtinId="35"/>
    <cellStyle name="40% - Accent4" xfId="10" builtinId="43"/>
    <cellStyle name="60% - Accent5" xfId="2" builtinId="48"/>
    <cellStyle name="Comma" xfId="4" builtinId="3"/>
    <cellStyle name="Currency" xfId="9" builtinId="4"/>
    <cellStyle name="Good" xfId="6" builtinId="26"/>
    <cellStyle name="Hyperlink" xfId="8" builtinId="8"/>
    <cellStyle name="Normal" xfId="0" builtinId="0"/>
    <cellStyle name="Normal 3" xfId="3" xr:uid="{00000000-0005-0000-0000-000002000000}"/>
    <cellStyle name="Note" xfId="7" builtinId="10"/>
    <cellStyle name="Per cent" xfId="1" builtinId="5"/>
  </cellStyles>
  <dxfs count="2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5"/>
        <name val="Segoe UI  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Segoe UI  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5"/>
        <name val="Segoe UI  "/>
        <scheme val="none"/>
      </font>
      <numFmt numFmtId="19" formatCode="dd/mm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5"/>
        <name val="Segoe UI  "/>
        <scheme val="none"/>
      </font>
    </dxf>
    <dxf>
      <font>
        <strike val="0"/>
        <outline val="0"/>
        <shadow val="0"/>
        <u val="none"/>
        <vertAlign val="baseline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4" tint="-0.249977111117893"/>
        <name val="Segoe UI  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Segoe UI  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Segoe UI  "/>
        <scheme val="none"/>
      </font>
      <numFmt numFmtId="19" formatCode="dd/mm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4" tint="-0.249977111117893"/>
        <name val="Segoe UI  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Segoe UI  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 "/>
        <scheme val="none"/>
      </font>
    </dxf>
  </dxfs>
  <tableStyles count="0" defaultTableStyle="TableStyleMedium2" defaultPivotStyle="PivotStyleLight16"/>
  <colors>
    <mruColors>
      <color rgb="FF9BC2E6"/>
      <color rgb="FF99CCFF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www.wallstreetzen.com/stocks/us/nyse/ko/statistics" TargetMode="External"/><Relationship Id="rId1" Type="http://schemas.openxmlformats.org/officeDocument/2006/relationships/image" Target="../media/image1.png"/><Relationship Id="rId6" Type="http://schemas.openxmlformats.org/officeDocument/2006/relationships/image" Target="../media/image4.png"/><Relationship Id="rId5" Type="http://schemas.openxmlformats.org/officeDocument/2006/relationships/hyperlink" Target="https://finance.yahoo.com/quote/KO/chart?p=KO#eyJpbnRlcnZhbCI6ImRheSIsInBlcmlvZGljaXR5IjoxLCJ0aW1lVW5pdCI6bnVsbCwiY2FuZGxlV2lkdGgiOjYzLjA1NTU1NTU1NTU1NTU2LCJmbGlwcGVkIjpmYWxzZSwidm9sdW1lVW5kZXJsYXkiOnRydWUsImFkaiI6dHJ1ZSwiY3Jvc3NoYWlyIjp0cnVlLCJjaGFydFR5cGUiOiJjb2xvcmVkX2JhciIsImV4dGVuZGVkIjpmYWxzZSwibWFya2V0U2Vzc2lvbnMiOnt9LCJhZ2dyZWdhdGlvblR5cGUiOiJvaGxjIiwiY2hhcnRTY2FsZSI6ImxpbmVhciIsInBhbmVscyI6eyJjaGFydCI6eyJwZXJjZW50IjoxLCJkaXNwbGF5IjoiS08iLCJjaGFydE5hbWUiOiJjaGFydCIsImluZGV4IjowLCJ5QXhpcyI6eyJuYW1lIjoiY2hhcnQiLCJwb3NpdGlvbiI6bnVsbH0sInlheGlzTEhTIjpbXSwieWF4aXNSSFMiOlsiY2hhcnQiLCLigIx2b2wgdW5kcuKAjCJdfX0sInNldFNwYW4iOm51bGwsImxpbmVXaWR0aCI6Miwic3RyaXBlZEJhY2tncm91bmQiOnRydWUsImV2ZW50cyI6dHJ1ZSwiY29sb3IiOiIjMDA4MWYyIiwic3RyaXBlZEJhY2tncm91ZCI6dHJ1ZSwiZXZlbnRNYXAiOnsiY29ycG9yYXRlIjp7ImRpdnMiOnRydWUsInNwbGl0cyI6dHJ1ZX0sInNpZ0RldiI6e319LCJzeW1ib2xzIjpbeyJzeW1ib2wiOiJLTyIsInN5bWJvbE9iamVjdCI6eyJzeW1ib2wiOiJLTyIsInF1b3RlVHlwZSI6IkVRVUlUWSIsImV4Y2hhbmdlVGltZVpvbmUiOiJBbWVyaWNhL05ld19Zb3JrIn0sInBlcmlvZGljaXR5IjoxLCJpbnRlcnZhbCI6ImRheSIsInRpbWVVbml0IjpudWxsLCJzZXRTcGFuIjpudWxsfV0sImN1c3RvbVJhbmdlIjpudWxsLCJzdHVkaWVzIjp7IuKAjHZvbCB1bmRy4oCMIjp7InR5cGUiOiJ2b2wgdW5kciIsImlucHV0cyI6eyJpZCI6IuKAjHZvbCB1bmRy4oCMIiwiZGlzcGxheSI6IuKAjHZvbCB1bmRy4oCMIn0sIm91dHB1dHMiOnsiVXAgVm9sdW1lIjoiIzAwYjA2MSIsIkRvd24gVm9sdW1lIjoiI2ZmMzMzYSJ9LCJwYW5lbCI6ImNoYXJ0IiwicGFyYW1ldGVycyI6eyJ3aWR0aEZhY3RvciI6MC40NSwiY2hhcnROYW1lIjoiY2hhcnQiLCJwYW5lbE5hbWUiOiJjaGFydCJ9fX0sInJhbmdlIjpudWxsfQ--" TargetMode="External"/><Relationship Id="rId4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374316</xdr:colOff>
      <xdr:row>2</xdr:row>
      <xdr:rowOff>152667</xdr:rowOff>
    </xdr:from>
    <xdr:to>
      <xdr:col>18</xdr:col>
      <xdr:colOff>3228747</xdr:colOff>
      <xdr:row>12</xdr:row>
      <xdr:rowOff>13368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5644F1-BCCF-4DDD-A7A8-FB4969DA0B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8316" y="526983"/>
          <a:ext cx="10621484" cy="1732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562076</xdr:colOff>
      <xdr:row>27</xdr:row>
      <xdr:rowOff>35860</xdr:rowOff>
    </xdr:from>
    <xdr:to>
      <xdr:col>10</xdr:col>
      <xdr:colOff>539119</xdr:colOff>
      <xdr:row>48</xdr:row>
      <xdr:rowOff>57682</xdr:rowOff>
    </xdr:to>
    <xdr:pic>
      <xdr:nvPicPr>
        <xdr:cNvPr id="3" name="Pictur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3859CB-D531-9FAA-C9BD-EEC0EA01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2076" y="5205103"/>
          <a:ext cx="8122205" cy="3927570"/>
        </a:xfrm>
        <a:prstGeom prst="rect">
          <a:avLst/>
        </a:prstGeom>
      </xdr:spPr>
    </xdr:pic>
    <xdr:clientData/>
  </xdr:twoCellAnchor>
  <xdr:twoCellAnchor editAs="oneCell">
    <xdr:from>
      <xdr:col>3</xdr:col>
      <xdr:colOff>864974</xdr:colOff>
      <xdr:row>48</xdr:row>
      <xdr:rowOff>144161</xdr:rowOff>
    </xdr:from>
    <xdr:to>
      <xdr:col>9</xdr:col>
      <xdr:colOff>715291</xdr:colOff>
      <xdr:row>58</xdr:row>
      <xdr:rowOff>5298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3DBDA3D-530F-BAF8-1EEF-69D478C689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9569" y="9864810"/>
          <a:ext cx="5204911" cy="1714649"/>
        </a:xfrm>
        <a:prstGeom prst="rect">
          <a:avLst/>
        </a:prstGeom>
      </xdr:spPr>
    </xdr:pic>
    <xdr:clientData/>
  </xdr:twoCellAnchor>
  <xdr:twoCellAnchor editAs="oneCell">
    <xdr:from>
      <xdr:col>12</xdr:col>
      <xdr:colOff>494632</xdr:colOff>
      <xdr:row>29</xdr:row>
      <xdr:rowOff>106949</xdr:rowOff>
    </xdr:from>
    <xdr:to>
      <xdr:col>23</xdr:col>
      <xdr:colOff>241947</xdr:colOff>
      <xdr:row>61</xdr:row>
      <xdr:rowOff>95427</xdr:rowOff>
    </xdr:to>
    <xdr:pic>
      <xdr:nvPicPr>
        <xdr:cNvPr id="5" name="Picture 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67CBFA5-90F1-D4AC-3E48-1B545ED358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906000" y="6350002"/>
          <a:ext cx="13877736" cy="597753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240632</xdr:colOff>
      <xdr:row>16</xdr:row>
      <xdr:rowOff>40105</xdr:rowOff>
    </xdr:from>
    <xdr:to>
      <xdr:col>19</xdr:col>
      <xdr:colOff>494632</xdr:colOff>
      <xdr:row>21</xdr:row>
      <xdr:rowOff>66842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5263491-256C-CCB6-DB2D-17CDBAB32A28}"/>
            </a:ext>
          </a:extLst>
        </xdr:cNvPr>
        <xdr:cNvSpPr txBox="1"/>
      </xdr:nvSpPr>
      <xdr:spPr>
        <a:xfrm>
          <a:off x="10266948" y="3088105"/>
          <a:ext cx="11309684" cy="1029369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200">
              <a:solidFill>
                <a:schemeClr val="dk1"/>
              </a:solidFill>
              <a:effectLst/>
              <a:latin typeface="Segoe UI  "/>
              <a:ea typeface="+mn-ea"/>
              <a:cs typeface="+mn-cs"/>
            </a:rPr>
            <a:t>Coca-Cola is a multinational corporation founded in 1892 in the USA and is a beverage company that sell its products in more than 200 countries. The firm owns approximately 200 masters’ brands across a variety of beverage type such as sparkling soft drinks, sports drinks, hydration drinks, coffee, and tea. The company is number one on the global share position in the non-alcoholic ready to drink industry and represents 32.7 billion servings per year across all regions. </a:t>
          </a:r>
        </a:p>
        <a:p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796196</xdr:colOff>
      <xdr:row>1</xdr:row>
      <xdr:rowOff>27502</xdr:rowOff>
    </xdr:from>
    <xdr:to>
      <xdr:col>5</xdr:col>
      <xdr:colOff>25408</xdr:colOff>
      <xdr:row>15</xdr:row>
      <xdr:rowOff>105103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5E86DE3-E55A-6089-4EA9-CA5C5C68C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30" y="211433"/>
          <a:ext cx="4536937" cy="265263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énus Artus" id="{EB6DCF1D-6C7A-4F1C-8F08-F6FF660F40C4}" userId="4ff9011cb5afc5d7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D7C5A4F-406A-437A-9779-E8D780246336}" name="Table1" displayName="Table1" ref="A2:J65" totalsRowShown="0" headerRowDxfId="28" dataDxfId="27">
  <autoFilter ref="A2:J65" xr:uid="{5D7C5A4F-406A-437A-9779-E8D780246336}"/>
  <tableColumns count="10">
    <tableColumn id="1" xr3:uid="{328BD71C-6AC6-4285-9A98-4FF0AA02547F}" name="Date" dataDxfId="26"/>
    <tableColumn id="2" xr3:uid="{2A70CAAC-600D-47E8-94CF-0554C78A39C8}" name="1 mo" dataDxfId="25"/>
    <tableColumn id="3" xr3:uid="{AC49A2BC-4713-4EA3-8793-1DE80D01635A}" name="3 mo" dataDxfId="24"/>
    <tableColumn id="4" xr3:uid="{6A1A5CF5-017C-4CBD-8A66-37CEFBE7A453}" name="6 mo" dataDxfId="23"/>
    <tableColumn id="5" xr3:uid="{07E56A21-8BF4-44E7-9C55-13F158B01668}" name="1 yr" dataDxfId="22"/>
    <tableColumn id="6" xr3:uid="{530EE2E0-540A-4BF5-966D-2ADF4447B787}" name="3 yr" dataDxfId="21"/>
    <tableColumn id="7" xr3:uid="{B55ADC63-BCB8-4C72-914A-5391FDB5FBE9}" name="5 yr" dataDxfId="20"/>
    <tableColumn id="8" xr3:uid="{85241479-CC49-4EDB-A3F9-02C2104E1F47}" name="7 yr" dataDxfId="19"/>
    <tableColumn id="9" xr3:uid="{1F47672B-48ED-455E-8741-8092773F280F}" name="10 yr" dataDxfId="18"/>
    <tableColumn id="10" xr3:uid="{2E0A120C-DD07-449E-9E31-D28B74400692}" name="20 yr" dataDxfId="17"/>
  </tableColumns>
  <tableStyleInfo name="TableStyleMedium1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9B77CCD-CB66-4F73-95BD-31A319A9F272}" name="Table4" displayName="Table4" ref="A5:C161" totalsRowShown="0" headerRowDxfId="16" dataDxfId="15">
  <autoFilter ref="A5:C161" xr:uid="{89B77CCD-CB66-4F73-95BD-31A319A9F272}"/>
  <tableColumns count="3">
    <tableColumn id="1" xr3:uid="{1C3D9D69-F2BC-4287-B814-94B9917FDB7A}" name="Date" dataDxfId="14"/>
    <tableColumn id="2" xr3:uid="{3F3CBA88-4A2B-4F6D-9E40-50BC24EF789B}" name="Close" dataDxfId="13"/>
    <tableColumn id="3" xr3:uid="{AFB1CBC5-9873-4FCF-955F-C330998A99EF}" name="Log return" dataDxfId="12">
      <calculatedColumnFormula>LN(B6/B5)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7E6FF6-19ED-4A80-841F-A858F16E3176}" name="Table5" displayName="Table5" ref="F5:H161" totalsRowShown="0" headerRowDxfId="11" dataDxfId="10">
  <autoFilter ref="F5:H161" xr:uid="{517E6FF6-19ED-4A80-841F-A858F16E3176}"/>
  <tableColumns count="3">
    <tableColumn id="1" xr3:uid="{58A4BA08-F240-45E8-AF26-78B413B8FEC0}" name="Date" dataDxfId="9"/>
    <tableColumn id="2" xr3:uid="{20FBC5E6-4856-453C-9388-7941CFD64CE6}" name="Close" dataDxfId="8"/>
    <tableColumn id="3" xr3:uid="{41610E46-9D6B-442A-8F2C-062704F70DB6}" name="log return" dataDxfId="7">
      <calculatedColumnFormula>LN(G6/G5)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8" dT="2023-06-01T08:10:54.50" personId="{EB6DCF1D-6C7A-4F1C-8F08-F6FF660F40C4}" id="{086F8D03-B75A-4423-8E65-6B51282A0F77}">
    <text>https://www.statista.com/statistics/254562/coca-colas-number-of-employees-worldwide/</text>
    <extLst>
      <x:ext xmlns:xltc2="http://schemas.microsoft.com/office/spreadsheetml/2020/threadedcomments2" uri="{F7C98A9C-CBB3-438F-8F68-D28B6AF4A901}">
        <xltc2:checksum>3011128489</xltc2:checksum>
        <xltc2:hyperlink startIndex="0" length="84" url="https://www.statista.com/statistics/254562/coca-colas-number-of-employees-worldwide/"/>
      </x:ext>
    </extLst>
  </threadedComment>
  <threadedComment ref="C20" dT="2023-05-31T16:10:13.04" personId="{EB6DCF1D-6C7A-4F1C-8F08-F6FF660F40C4}" id="{21081F31-BE1D-4EBC-A7CC-53B4D5FE40F1}">
    <text>As of May 2023, https://companiesmarketcap.com/coca-cola/marketcap/</text>
    <extLst>
      <x:ext xmlns:xltc2="http://schemas.microsoft.com/office/spreadsheetml/2020/threadedcomments2" uri="{F7C98A9C-CBB3-438F-8F68-D28B6AF4A901}">
        <xltc2:checksum>2386575081</xltc2:checksum>
        <xltc2:hyperlink startIndex="16" length="51" url="https://companiesmarketcap.com/coca-cola/marketcap/"/>
      </x:ext>
    </extLst>
  </threadedComment>
  <threadedComment ref="H20" dT="2023-06-01T09:44:38.33" personId="{EB6DCF1D-6C7A-4F1C-8F08-F6FF660F40C4}" id="{81A25C5D-7952-430A-B846-1424F99FBF7D}">
    <text>https://www.wallstreetzen.com/stocks/us/nyse/ko/statistics</text>
    <extLst>
      <x:ext xmlns:xltc2="http://schemas.microsoft.com/office/spreadsheetml/2020/threadedcomments2" uri="{F7C98A9C-CBB3-438F-8F68-D28B6AF4A901}">
        <xltc2:checksum>3360816871</xltc2:checksum>
        <xltc2:hyperlink startIndex="0" length="58" url="https://www.wallstreetzen.com/stocks/us/nyse/ko/statistics"/>
      </x:ext>
    </extLs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10" dT="2023-06-27T09:06:24.71" personId="{EB6DCF1D-6C7A-4F1C-8F08-F6FF660F40C4}" id="{4F1E7BD2-A86B-4BB1-9E9B-79953C3BAD4E}">
    <text xml:space="preserve">Coup de la dette </text>
  </threadedComment>
  <threadedComment ref="J10" dT="2023-06-01T14:15:45.93" personId="{EB6DCF1D-6C7A-4F1C-8F08-F6FF660F40C4}" id="{951EEE08-3824-4BA2-8184-EF02E7C73800}">
    <text>https://www.boerse-frankfurt.de/bond/xs1995781546-coca-cola-hbc-finance-b-v-1-19-27</text>
    <extLst>
      <x:ext xmlns:xltc2="http://schemas.microsoft.com/office/spreadsheetml/2020/threadedcomments2" uri="{F7C98A9C-CBB3-438F-8F68-D28B6AF4A901}">
        <xltc2:checksum>772088469</xltc2:checksum>
        <xltc2:hyperlink startIndex="0" length="83" url="https://www.boerse-frankfurt.de/bond/xs1995781546-coca-cola-hbc-finance-b-v-1-19-27"/>
      </x:ext>
    </extLs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9" dT="2023-05-30T16:28:24.42" personId="{EB6DCF1D-6C7A-4F1C-8F08-F6FF660F40C4}" id="{D18870C5-D829-42EC-8074-42547361E591}">
    <text>https://finance.yahoo.com/quote/KO/history/</text>
    <extLst>
      <x:ext xmlns:xltc2="http://schemas.microsoft.com/office/spreadsheetml/2020/threadedcomments2" uri="{F7C98A9C-CBB3-438F-8F68-D28B6AF4A901}">
        <xltc2:checksum>3734360938</xltc2:checksum>
        <xltc2:hyperlink startIndex="0" length="43" url="https://finance.yahoo.com/quote/KO/history/"/>
      </x:ext>
    </extLs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4" dT="2023-06-01T09:43:06.73" personId="{EB6DCF1D-6C7A-4F1C-8F08-F6FF660F40C4}" id="{382CC116-22D6-4E45-A1E2-AE3034CBD904}">
    <text>May 10th https://investors.coca-colacompany.com/stock-information/historical-data</text>
    <extLst>
      <x:ext xmlns:xltc2="http://schemas.microsoft.com/office/spreadsheetml/2020/threadedcomments2" uri="{F7C98A9C-CBB3-438F-8F68-D28B6AF4A901}">
        <xltc2:checksum>794522016</xltc2:checksum>
        <xltc2:hyperlink startIndex="9" length="72" url="https://investors.coca-colacompany.com/stock-information/historical-data"/>
      </x:ext>
    </extLst>
  </threadedComment>
  <threadedComment ref="A29" dT="2023-06-01T10:17:22.34" personId="{EB6DCF1D-6C7A-4F1C-8F08-F6FF660F40C4}" id="{4660003D-7733-42F1-B70D-6D62A7D14313}">
    <text xml:space="preserve">In millions $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www.wsj.com/market-data/quotes/bond/BX/TMUBMUSD02Y?mod=searchresults_companyquotes" TargetMode="External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hyperlink" Target="https://finance.yahoo.com/quote/KO/history?p=KO" TargetMode="External"/><Relationship Id="rId1" Type="http://schemas.openxmlformats.org/officeDocument/2006/relationships/hyperlink" Target="https://finance.yahoo.com/quote/%5EGSPC/history/" TargetMode="Externa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AF4BF-D98E-446C-B1C2-D748AACF3EF1}">
  <dimension ref="C16:AG29"/>
  <sheetViews>
    <sheetView showGridLines="0" zoomScale="57" zoomScaleNormal="85" workbookViewId="0">
      <selection activeCell="S14" sqref="S14"/>
    </sheetView>
  </sheetViews>
  <sheetFormatPr defaultRowHeight="14.4"/>
  <cols>
    <col min="2" max="2" width="0.6640625" customWidth="1"/>
    <col min="3" max="3" width="13.109375" customWidth="1"/>
    <col min="4" max="4" width="14.44140625" customWidth="1"/>
    <col min="5" max="5" width="22.77734375" customWidth="1"/>
    <col min="9" max="9" width="14.33203125" customWidth="1"/>
    <col min="10" max="10" width="18.109375" customWidth="1"/>
    <col min="19" max="19" width="116.33203125" customWidth="1"/>
  </cols>
  <sheetData>
    <row r="16" spans="3:32" ht="19.2">
      <c r="C16" s="279" t="s">
        <v>250</v>
      </c>
      <c r="D16" s="279"/>
      <c r="E16" s="279"/>
      <c r="F16" s="279"/>
      <c r="G16" s="279"/>
      <c r="H16" s="279"/>
      <c r="I16" s="279"/>
      <c r="J16" s="279"/>
      <c r="K16" s="4"/>
      <c r="L16" s="4"/>
      <c r="P16" s="277"/>
      <c r="Q16" s="277"/>
      <c r="R16" s="277"/>
      <c r="S16" s="277"/>
      <c r="T16" s="277"/>
      <c r="U16" s="277"/>
      <c r="V16" s="277"/>
      <c r="W16" s="277"/>
      <c r="X16" s="277"/>
      <c r="Y16" s="277"/>
      <c r="Z16" s="277"/>
      <c r="AA16" s="277"/>
      <c r="AB16" s="277"/>
      <c r="AC16" s="277"/>
      <c r="AD16" s="277"/>
      <c r="AE16" s="277"/>
      <c r="AF16" s="277"/>
    </row>
    <row r="17" spans="3:33" ht="12" customHeight="1">
      <c r="C17" s="4"/>
      <c r="D17" s="4"/>
      <c r="E17" s="4"/>
      <c r="F17" s="4"/>
      <c r="G17" s="4"/>
      <c r="H17" s="4"/>
      <c r="I17" s="4"/>
      <c r="J17" s="4"/>
      <c r="K17" s="4"/>
      <c r="L17" s="4"/>
      <c r="S17" s="200"/>
    </row>
    <row r="18" spans="3:33" ht="16.8">
      <c r="C18" s="11" t="s">
        <v>242</v>
      </c>
      <c r="D18" s="4"/>
      <c r="E18" s="51" t="s">
        <v>243</v>
      </c>
      <c r="F18" s="4"/>
      <c r="G18" s="4"/>
      <c r="H18" s="11" t="s">
        <v>244</v>
      </c>
      <c r="I18" s="11"/>
      <c r="J18" s="195">
        <v>82500</v>
      </c>
      <c r="K18" s="4"/>
      <c r="L18" s="4"/>
    </row>
    <row r="19" spans="3:33" ht="16.8">
      <c r="C19" s="11" t="s">
        <v>240</v>
      </c>
      <c r="D19" s="4"/>
      <c r="E19" s="51" t="s">
        <v>241</v>
      </c>
      <c r="F19" s="4"/>
      <c r="G19" s="4"/>
      <c r="H19" s="11" t="s">
        <v>248</v>
      </c>
      <c r="I19" s="11"/>
      <c r="J19" s="196">
        <v>43004</v>
      </c>
      <c r="K19" s="4"/>
      <c r="L19" s="4"/>
    </row>
    <row r="20" spans="3:33" ht="16.8">
      <c r="C20" s="11" t="s">
        <v>238</v>
      </c>
      <c r="D20" s="4"/>
      <c r="E20" s="51" t="s">
        <v>239</v>
      </c>
      <c r="F20" s="4"/>
      <c r="G20" s="4"/>
      <c r="H20" s="11" t="s">
        <v>251</v>
      </c>
      <c r="I20" s="11"/>
      <c r="J20" s="51" t="s">
        <v>252</v>
      </c>
      <c r="K20" s="4"/>
      <c r="L20" s="4"/>
    </row>
    <row r="21" spans="3:33" ht="16.8">
      <c r="C21" s="11" t="s">
        <v>245</v>
      </c>
      <c r="D21" s="4"/>
      <c r="E21" s="51" t="s">
        <v>249</v>
      </c>
      <c r="F21" s="4"/>
      <c r="G21" s="4"/>
      <c r="H21" s="11"/>
      <c r="I21" s="11"/>
      <c r="J21" s="51"/>
      <c r="K21" s="4"/>
      <c r="L21" s="4"/>
    </row>
    <row r="22" spans="3:33" ht="16.8">
      <c r="C22" s="11"/>
      <c r="D22" s="4"/>
      <c r="E22" s="51"/>
      <c r="F22" s="4"/>
      <c r="G22" s="4"/>
      <c r="H22" s="11"/>
      <c r="I22" s="11"/>
      <c r="J22" s="51"/>
      <c r="K22" s="4"/>
      <c r="L22" s="4"/>
    </row>
    <row r="23" spans="3:33" ht="50.4">
      <c r="C23" s="11" t="s">
        <v>253</v>
      </c>
      <c r="D23" s="4"/>
      <c r="E23" s="197" t="s">
        <v>254</v>
      </c>
      <c r="F23" s="4"/>
      <c r="G23" s="4"/>
      <c r="H23" s="11" t="s">
        <v>256</v>
      </c>
      <c r="I23" s="11"/>
      <c r="J23" s="198" t="s">
        <v>257</v>
      </c>
      <c r="K23" s="4"/>
      <c r="L23" s="4"/>
    </row>
    <row r="24" spans="3:33" ht="16.8">
      <c r="C24" s="4"/>
      <c r="D24" s="4"/>
      <c r="E24" s="4"/>
      <c r="F24" s="4"/>
      <c r="G24" s="4"/>
      <c r="H24" s="4"/>
      <c r="I24" s="4"/>
      <c r="J24" s="4"/>
      <c r="K24" s="4"/>
      <c r="L24" s="4"/>
    </row>
    <row r="25" spans="3:33" ht="16.8"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3:33" ht="16.8"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3:33" ht="19.2">
      <c r="C27" s="4"/>
      <c r="D27" s="278" t="s">
        <v>255</v>
      </c>
      <c r="E27" s="278"/>
      <c r="F27" s="278"/>
      <c r="G27" s="278"/>
      <c r="H27" s="278"/>
      <c r="I27" s="278"/>
      <c r="J27" s="278"/>
      <c r="K27" s="278"/>
      <c r="L27" s="278"/>
      <c r="R27" s="199"/>
    </row>
    <row r="28" spans="3:33" ht="15.6" customHeight="1">
      <c r="O28" s="277" t="s">
        <v>258</v>
      </c>
      <c r="P28" s="277"/>
      <c r="Q28" s="277"/>
      <c r="R28" s="277"/>
      <c r="S28" s="277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</row>
    <row r="29" spans="3:33" ht="14.4" customHeight="1"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</row>
  </sheetData>
  <mergeCells count="4">
    <mergeCell ref="O28:S28"/>
    <mergeCell ref="D27:L27"/>
    <mergeCell ref="C16:J16"/>
    <mergeCell ref="P16:AF16"/>
  </mergeCells>
  <phoneticPr fontId="28" type="noConversion"/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611B0-287D-47BE-BCB5-32CE5713E43B}">
  <dimension ref="A2:U42"/>
  <sheetViews>
    <sheetView topLeftCell="A2" zoomScale="71" zoomScaleNormal="76" workbookViewId="0">
      <selection activeCell="B29" sqref="B29"/>
    </sheetView>
  </sheetViews>
  <sheetFormatPr defaultRowHeight="13.8"/>
  <cols>
    <col min="1" max="1" width="28.109375" style="126" bestFit="1" customWidth="1"/>
    <col min="2" max="2" width="25.109375" style="126" bestFit="1" customWidth="1"/>
    <col min="3" max="3" width="22.44140625" style="126" bestFit="1" customWidth="1"/>
    <col min="4" max="4" width="32.21875" style="126" customWidth="1"/>
    <col min="5" max="5" width="15.109375" style="126" customWidth="1"/>
    <col min="6" max="6" width="16" style="126" customWidth="1"/>
    <col min="7" max="7" width="16.109375" style="126" customWidth="1"/>
    <col min="8" max="8" width="15" style="126" customWidth="1"/>
    <col min="9" max="9" width="14.88671875" style="126" bestFit="1" customWidth="1"/>
    <col min="10" max="10" width="17.44140625" style="126" customWidth="1"/>
    <col min="11" max="13" width="20.44140625" style="126" bestFit="1" customWidth="1"/>
    <col min="14" max="14" width="23.88671875" style="126" customWidth="1"/>
    <col min="15" max="16" width="20.44140625" style="126" bestFit="1" customWidth="1"/>
    <col min="17" max="17" width="8.88671875" style="126"/>
    <col min="18" max="18" width="23.5546875" style="126" bestFit="1" customWidth="1"/>
    <col min="19" max="19" width="15.109375" style="126" bestFit="1" customWidth="1"/>
    <col min="20" max="16384" width="8.88671875" style="126"/>
  </cols>
  <sheetData>
    <row r="2" spans="1:21">
      <c r="S2" s="231"/>
      <c r="T2" s="232"/>
      <c r="U2" s="162"/>
    </row>
    <row r="3" spans="1:21" ht="21" thickBot="1">
      <c r="A3" s="186"/>
      <c r="B3" s="186"/>
      <c r="D3" s="234"/>
      <c r="E3" s="234"/>
      <c r="F3" s="234"/>
      <c r="G3" s="234"/>
      <c r="H3" s="234"/>
      <c r="I3" s="234"/>
      <c r="J3" s="234"/>
      <c r="K3" s="234"/>
      <c r="L3" s="234"/>
      <c r="M3" s="234"/>
      <c r="N3" s="234"/>
      <c r="O3" s="234"/>
      <c r="P3" s="234"/>
      <c r="S3" s="231"/>
      <c r="T3" s="233"/>
    </row>
    <row r="4" spans="1:21" ht="21">
      <c r="A4" s="247" t="s">
        <v>260</v>
      </c>
      <c r="B4" s="248">
        <v>3.5099999999999999E-2</v>
      </c>
      <c r="D4" s="235" t="s">
        <v>219</v>
      </c>
      <c r="E4" s="236">
        <v>2017</v>
      </c>
      <c r="F4" s="236">
        <v>2018</v>
      </c>
      <c r="G4" s="236">
        <v>2019</v>
      </c>
      <c r="H4" s="236">
        <v>2020</v>
      </c>
      <c r="I4" s="236">
        <v>2021</v>
      </c>
      <c r="J4" s="236">
        <v>2022</v>
      </c>
      <c r="K4" s="236">
        <v>2023</v>
      </c>
      <c r="L4" s="236">
        <v>2024</v>
      </c>
      <c r="M4" s="236">
        <v>2025</v>
      </c>
      <c r="N4" s="236">
        <v>2026</v>
      </c>
      <c r="O4" s="236">
        <v>2027</v>
      </c>
      <c r="P4" s="237" t="s">
        <v>221</v>
      </c>
    </row>
    <row r="5" spans="1:21" ht="21">
      <c r="A5" s="249" t="s">
        <v>261</v>
      </c>
      <c r="B5" s="250">
        <v>1.2999999999999999E-2</v>
      </c>
      <c r="D5" s="238" t="s">
        <v>100</v>
      </c>
      <c r="E5" s="239">
        <f>'Free cash flow'!C16</f>
        <v>2242.4400000000005</v>
      </c>
      <c r="F5" s="239">
        <f>'Free cash flow'!D16</f>
        <v>16509.990000000002</v>
      </c>
      <c r="G5" s="239">
        <f>'Free cash flow'!E16</f>
        <v>23371.52</v>
      </c>
      <c r="H5" s="239">
        <f>'Free cash flow'!F16</f>
        <v>11953</v>
      </c>
      <c r="I5" s="239">
        <f>'Free cash flow'!G16</f>
        <v>8433.66</v>
      </c>
      <c r="J5" s="239">
        <f>'Free cash flow'!H16</f>
        <v>12714.68</v>
      </c>
      <c r="K5" s="240">
        <f>J5*(1+$B$4)</f>
        <v>13160.965268</v>
      </c>
      <c r="L5" s="240">
        <f t="shared" ref="L5:O5" si="0">K5*(1+$B$4)</f>
        <v>13622.915148906799</v>
      </c>
      <c r="M5" s="240">
        <f t="shared" si="0"/>
        <v>14101.079470633427</v>
      </c>
      <c r="N5" s="240">
        <f t="shared" si="0"/>
        <v>14596.02736005266</v>
      </c>
      <c r="O5" s="240">
        <f t="shared" si="0"/>
        <v>15108.347920390506</v>
      </c>
      <c r="P5" s="241">
        <f>O5*(1+B4)/(B6-B5)</f>
        <v>315061.49582141638</v>
      </c>
      <c r="T5" s="187"/>
    </row>
    <row r="6" spans="1:21" ht="21.6" thickBot="1">
      <c r="A6" s="251" t="s">
        <v>262</v>
      </c>
      <c r="B6" s="252">
        <f>WACC!B29</f>
        <v>6.2636820556646294E-2</v>
      </c>
      <c r="D6" s="238" t="s">
        <v>220</v>
      </c>
      <c r="E6" s="234"/>
      <c r="F6" s="234"/>
      <c r="G6" s="234"/>
      <c r="H6" s="234"/>
      <c r="I6" s="234"/>
      <c r="J6" s="234"/>
      <c r="K6" s="234">
        <f>K5/(1+B6)</f>
        <v>12385.195970440613</v>
      </c>
      <c r="L6" s="234">
        <f>L5/(1+B6)^2</f>
        <v>12064.250081497794</v>
      </c>
      <c r="M6" s="234">
        <f>M5/(1+B6)^3</f>
        <v>11751.621078607899</v>
      </c>
      <c r="N6" s="234">
        <f>N5/(1+B6)^4</f>
        <v>11447.093440725172</v>
      </c>
      <c r="O6" s="234">
        <f>O5/(1+B6)^5</f>
        <v>11150.457231745237</v>
      </c>
      <c r="P6" s="242">
        <f>P5/(1+B6)^6</f>
        <v>218819.57454111055</v>
      </c>
    </row>
    <row r="7" spans="1:21" ht="21.6" thickBot="1">
      <c r="A7" s="186"/>
      <c r="B7" s="186"/>
      <c r="D7" s="243" t="s">
        <v>223</v>
      </c>
      <c r="E7" s="244"/>
      <c r="F7" s="244"/>
      <c r="G7" s="244"/>
      <c r="H7" s="244"/>
      <c r="I7" s="244"/>
      <c r="J7" s="244"/>
      <c r="K7" s="244">
        <f>1/(1+B6)^2</f>
        <v>0.88558505647492902</v>
      </c>
      <c r="L7" s="244">
        <f>1/(1+B6)^3</f>
        <v>0.83338450102926842</v>
      </c>
      <c r="M7" s="244">
        <f>1/(1+B6)^4</f>
        <v>0.78426089225170315</v>
      </c>
      <c r="N7" s="244">
        <f>1/(1+B6)^5</f>
        <v>0.73803286040933525</v>
      </c>
      <c r="O7" s="245">
        <f>1/(1+B6)^6</f>
        <v>0.69452972655580281</v>
      </c>
      <c r="P7" s="246"/>
    </row>
    <row r="8" spans="1:21" ht="20.399999999999999">
      <c r="A8" s="186"/>
      <c r="B8" s="186"/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234"/>
    </row>
    <row r="9" spans="1:21" ht="15.6" thickBot="1">
      <c r="A9" s="186"/>
      <c r="B9" s="186"/>
      <c r="C9" s="186"/>
      <c r="D9" s="186"/>
    </row>
    <row r="10" spans="1:21" ht="15.6">
      <c r="A10" s="253" t="s">
        <v>232</v>
      </c>
      <c r="B10" s="254">
        <f>SUM(K6:P6)*1000000</f>
        <v>277618192344.1272</v>
      </c>
      <c r="C10" s="226"/>
      <c r="D10" s="227"/>
      <c r="G10" s="188"/>
    </row>
    <row r="11" spans="1:21" ht="15.6">
      <c r="A11" s="255" t="s">
        <v>209</v>
      </c>
      <c r="B11" s="256">
        <f>'Income statement'!H27*1000000</f>
        <v>4328000000</v>
      </c>
      <c r="C11" s="226"/>
      <c r="D11" s="228"/>
      <c r="G11" s="189"/>
      <c r="R11" s="188"/>
    </row>
    <row r="12" spans="1:21" ht="15.6">
      <c r="A12" s="255" t="s">
        <v>233</v>
      </c>
      <c r="B12" s="257">
        <f>B10/B11</f>
        <v>64.144683998180966</v>
      </c>
      <c r="C12" s="226"/>
      <c r="D12" s="229"/>
      <c r="G12" s="190"/>
      <c r="J12" s="190"/>
      <c r="R12" s="190"/>
    </row>
    <row r="13" spans="1:21" ht="15.6">
      <c r="A13" s="255"/>
      <c r="B13" s="258"/>
      <c r="D13" s="226"/>
      <c r="G13" s="190"/>
      <c r="J13" s="190"/>
    </row>
    <row r="14" spans="1:21" ht="15.6">
      <c r="A14" s="255" t="s">
        <v>234</v>
      </c>
      <c r="B14" s="257">
        <f>WACC!B19</f>
        <v>63.5</v>
      </c>
      <c r="C14" s="226"/>
      <c r="D14" s="227"/>
      <c r="G14" s="190"/>
      <c r="J14" s="190"/>
    </row>
    <row r="15" spans="1:21" ht="15.6">
      <c r="A15" s="255"/>
      <c r="B15" s="259">
        <f>B14*B11</f>
        <v>274828000000</v>
      </c>
      <c r="C15" s="226"/>
      <c r="D15" s="227"/>
      <c r="E15" s="162"/>
      <c r="F15" s="162"/>
      <c r="G15" s="162"/>
      <c r="H15" s="162"/>
      <c r="I15" s="162"/>
      <c r="K15" s="227"/>
      <c r="L15" s="162"/>
      <c r="M15" s="162"/>
      <c r="N15" s="162"/>
      <c r="O15" s="162"/>
      <c r="P15" s="162"/>
    </row>
    <row r="16" spans="1:21" ht="15.6">
      <c r="A16" s="255"/>
      <c r="B16" s="258"/>
      <c r="C16" s="226"/>
      <c r="D16" s="271"/>
      <c r="K16" s="271"/>
    </row>
    <row r="17" spans="1:19" ht="16.2" thickBot="1">
      <c r="A17" s="260" t="s">
        <v>235</v>
      </c>
      <c r="B17" s="261">
        <f>(B14/B12)-1</f>
        <v>-1.005046650785979E-2</v>
      </c>
      <c r="C17" s="226"/>
      <c r="D17" s="230"/>
      <c r="K17" s="230"/>
      <c r="R17" s="226"/>
    </row>
    <row r="18" spans="1:19" ht="15">
      <c r="A18" s="186"/>
      <c r="B18" s="186"/>
      <c r="D18" s="270"/>
      <c r="K18" s="270"/>
    </row>
    <row r="19" spans="1:19" ht="15">
      <c r="A19" s="186"/>
      <c r="B19" s="186"/>
      <c r="D19" s="268"/>
      <c r="E19" s="17"/>
      <c r="F19" s="17"/>
      <c r="K19" s="268"/>
      <c r="L19" s="17"/>
      <c r="M19" s="17"/>
    </row>
    <row r="20" spans="1:19" ht="21">
      <c r="A20" s="277" t="s">
        <v>224</v>
      </c>
      <c r="B20" s="277"/>
      <c r="D20" s="272"/>
      <c r="E20" s="17"/>
      <c r="F20" s="17"/>
      <c r="G20" s="191"/>
      <c r="H20" s="192"/>
      <c r="I20" s="192"/>
      <c r="J20" s="192"/>
      <c r="K20" s="272"/>
      <c r="L20" s="17"/>
      <c r="M20" s="17"/>
      <c r="N20" s="191"/>
      <c r="O20" s="192"/>
      <c r="P20" s="192"/>
      <c r="Q20" s="192"/>
    </row>
    <row r="21" spans="1:19" ht="15.6">
      <c r="A21" s="284" t="s">
        <v>225</v>
      </c>
      <c r="B21" s="284"/>
      <c r="D21" s="267"/>
      <c r="E21" s="267"/>
      <c r="F21" s="17"/>
    </row>
    <row r="22" spans="1:19" ht="15">
      <c r="A22" s="262" t="s">
        <v>226</v>
      </c>
      <c r="B22" s="263"/>
      <c r="D22" s="269"/>
      <c r="E22" s="269"/>
      <c r="F22" s="17"/>
      <c r="G22" s="134"/>
      <c r="H22" s="134"/>
      <c r="J22" s="282"/>
      <c r="K22" s="282"/>
      <c r="L22" s="282"/>
      <c r="M22" s="134"/>
      <c r="N22" s="134"/>
      <c r="O22" s="134"/>
      <c r="P22" s="134"/>
      <c r="Q22" s="134"/>
      <c r="R22" s="134"/>
      <c r="S22" s="134"/>
    </row>
    <row r="23" spans="1:19" ht="15">
      <c r="A23" s="263" t="s">
        <v>273</v>
      </c>
      <c r="B23" s="264">
        <f>O5</f>
        <v>15108.347920390506</v>
      </c>
      <c r="D23" s="268"/>
      <c r="E23" s="17"/>
      <c r="F23" s="17"/>
      <c r="J23" s="283"/>
      <c r="K23" s="283"/>
      <c r="L23" s="283"/>
    </row>
    <row r="24" spans="1:19" ht="15">
      <c r="A24" s="263" t="s">
        <v>274</v>
      </c>
      <c r="B24" s="265">
        <f>B5</f>
        <v>1.2999999999999999E-2</v>
      </c>
      <c r="D24" s="227"/>
      <c r="E24" s="162"/>
      <c r="F24" s="162"/>
      <c r="G24" s="162"/>
      <c r="H24" s="162"/>
      <c r="I24" s="162"/>
      <c r="K24" s="193"/>
    </row>
    <row r="25" spans="1:19" ht="15">
      <c r="A25" s="263" t="s">
        <v>227</v>
      </c>
      <c r="B25" s="265">
        <f>B6</f>
        <v>6.2636820556646294E-2</v>
      </c>
      <c r="D25" s="274"/>
      <c r="K25" s="202"/>
      <c r="L25" s="162"/>
      <c r="M25" s="162"/>
      <c r="N25" s="162"/>
      <c r="O25" s="162"/>
      <c r="P25" s="162"/>
    </row>
    <row r="26" spans="1:19" ht="15">
      <c r="A26" s="263" t="s">
        <v>228</v>
      </c>
      <c r="B26" s="266">
        <f>(B23*(1+B4)/(B6-B5))</f>
        <v>315061.49582141638</v>
      </c>
      <c r="D26" s="273"/>
      <c r="K26" s="162"/>
    </row>
    <row r="27" spans="1:19" ht="15">
      <c r="A27" s="263" t="s">
        <v>229</v>
      </c>
      <c r="B27" s="266">
        <f>B26/(1+B6)^6</f>
        <v>218819.57454111055</v>
      </c>
      <c r="D27" s="275"/>
      <c r="K27" s="162"/>
    </row>
    <row r="28" spans="1:19" ht="15">
      <c r="A28" s="263" t="s">
        <v>230</v>
      </c>
      <c r="B28" s="276">
        <f>SUM(K6:O6)</f>
        <v>58798.617803016707</v>
      </c>
      <c r="D28" s="267"/>
      <c r="E28" s="17"/>
      <c r="F28" s="17"/>
      <c r="K28" s="162"/>
    </row>
    <row r="29" spans="1:19" ht="21">
      <c r="A29" s="263" t="s">
        <v>231</v>
      </c>
      <c r="B29" s="266">
        <f>B27+B28</f>
        <v>277618.19234412722</v>
      </c>
      <c r="D29" s="267"/>
      <c r="E29" s="17"/>
      <c r="F29" s="17"/>
      <c r="G29" s="191"/>
      <c r="H29" s="192"/>
      <c r="I29" s="192"/>
      <c r="K29" s="162"/>
    </row>
    <row r="30" spans="1:19" ht="15">
      <c r="A30" s="186"/>
      <c r="B30" s="186"/>
      <c r="D30" s="17"/>
      <c r="E30" s="17"/>
      <c r="F30" s="17"/>
      <c r="K30" s="162"/>
    </row>
    <row r="31" spans="1:19" ht="15">
      <c r="A31" s="186"/>
      <c r="B31" s="186"/>
    </row>
    <row r="32" spans="1:19">
      <c r="D32" s="227"/>
      <c r="E32" s="162"/>
      <c r="F32" s="162"/>
      <c r="G32" s="162"/>
      <c r="H32" s="162"/>
      <c r="I32" s="162"/>
    </row>
    <row r="33" spans="4:16">
      <c r="D33" s="271"/>
    </row>
    <row r="34" spans="4:16">
      <c r="D34" s="230"/>
      <c r="K34" s="202"/>
      <c r="L34" s="162"/>
      <c r="M34" s="162"/>
      <c r="N34" s="162"/>
      <c r="O34" s="162"/>
      <c r="P34" s="162"/>
    </row>
    <row r="35" spans="4:16">
      <c r="D35" s="270"/>
      <c r="K35" s="162"/>
    </row>
    <row r="36" spans="4:16">
      <c r="D36" s="268"/>
      <c r="E36" s="17"/>
      <c r="F36" s="17"/>
      <c r="J36" s="194"/>
      <c r="K36" s="162"/>
      <c r="L36" s="194"/>
    </row>
    <row r="37" spans="4:16" ht="21">
      <c r="D37" s="272"/>
      <c r="E37" s="17"/>
      <c r="F37" s="17"/>
      <c r="G37" s="191"/>
      <c r="H37" s="192"/>
      <c r="I37" s="192"/>
      <c r="K37" s="162"/>
    </row>
    <row r="38" spans="4:16">
      <c r="D38" s="162"/>
      <c r="K38" s="162"/>
    </row>
    <row r="39" spans="4:16">
      <c r="D39" s="162"/>
      <c r="K39" s="162"/>
    </row>
    <row r="40" spans="4:16">
      <c r="D40" s="162"/>
    </row>
    <row r="41" spans="4:16">
      <c r="D41" s="162"/>
    </row>
    <row r="42" spans="4:16">
      <c r="D42" s="162"/>
    </row>
  </sheetData>
  <mergeCells count="4">
    <mergeCell ref="J22:L22"/>
    <mergeCell ref="J23:L23"/>
    <mergeCell ref="A20:B20"/>
    <mergeCell ref="A21:B21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8"/>
  <sheetViews>
    <sheetView zoomScale="83" zoomScaleNormal="97" workbookViewId="0">
      <pane xSplit="1" topLeftCell="B1" activePane="topRight" state="frozen"/>
      <selection pane="topRight" activeCell="A2" sqref="A2"/>
    </sheetView>
  </sheetViews>
  <sheetFormatPr defaultRowHeight="14.4"/>
  <cols>
    <col min="1" max="1" width="45.5546875" customWidth="1"/>
    <col min="3" max="3" width="15.88671875" customWidth="1"/>
    <col min="7" max="7" width="14.21875" customWidth="1"/>
    <col min="8" max="8" width="14.33203125" customWidth="1"/>
    <col min="9" max="9" width="17.21875" customWidth="1"/>
    <col min="13" max="13" width="24.21875" bestFit="1" customWidth="1"/>
    <col min="14" max="14" width="24.21875" customWidth="1"/>
    <col min="15" max="15" width="11.6640625" customWidth="1"/>
    <col min="16" max="16" width="12.77734375" customWidth="1"/>
    <col min="17" max="17" width="13.21875" customWidth="1"/>
    <col min="18" max="18" width="11.88671875" customWidth="1"/>
    <col min="19" max="19" width="12.21875" customWidth="1"/>
    <col min="20" max="20" width="10.77734375" customWidth="1"/>
  </cols>
  <sheetData>
    <row r="1" spans="1:20" ht="15" thickBot="1"/>
    <row r="2" spans="1:20" ht="15" thickBot="1">
      <c r="A2" s="99" t="s">
        <v>247</v>
      </c>
    </row>
    <row r="4" spans="1:20" ht="15" thickBot="1"/>
    <row r="5" spans="1:20" ht="19.2">
      <c r="A5" s="4"/>
      <c r="B5" s="4"/>
      <c r="C5" s="65">
        <v>2017</v>
      </c>
      <c r="D5" s="53">
        <v>2018</v>
      </c>
      <c r="E5" s="53">
        <v>2019</v>
      </c>
      <c r="F5" s="53">
        <v>2020</v>
      </c>
      <c r="G5" s="53">
        <v>2021</v>
      </c>
      <c r="H5" s="53">
        <v>2022</v>
      </c>
      <c r="I5" s="91"/>
    </row>
    <row r="6" spans="1:20" ht="17.399999999999999" thickBot="1">
      <c r="A6" s="4"/>
      <c r="B6" s="4"/>
      <c r="C6" s="67"/>
      <c r="D6" s="57"/>
      <c r="E6" s="57"/>
      <c r="F6" s="57"/>
      <c r="G6" s="57"/>
      <c r="H6" s="57"/>
      <c r="I6" s="58"/>
      <c r="M6" s="17"/>
      <c r="N6" s="20">
        <v>2016</v>
      </c>
      <c r="O6" s="14">
        <v>2017</v>
      </c>
      <c r="P6" s="14">
        <v>2018</v>
      </c>
      <c r="Q6" s="14">
        <v>2019</v>
      </c>
      <c r="R6" s="14">
        <v>2020</v>
      </c>
      <c r="S6" s="14">
        <v>2021</v>
      </c>
      <c r="T6" s="14">
        <v>2022</v>
      </c>
    </row>
    <row r="7" spans="1:20" ht="16.8">
      <c r="A7" s="59" t="s">
        <v>0</v>
      </c>
      <c r="B7" s="4"/>
      <c r="C7" s="92"/>
      <c r="D7" s="57"/>
      <c r="E7" s="57"/>
      <c r="F7" s="57"/>
      <c r="G7" s="57"/>
      <c r="H7" s="68" t="s">
        <v>27</v>
      </c>
      <c r="I7" s="58"/>
      <c r="M7" s="13" t="s">
        <v>97</v>
      </c>
      <c r="N7" s="21">
        <v>34010</v>
      </c>
      <c r="O7" s="15">
        <v>36545</v>
      </c>
      <c r="P7" s="15">
        <v>30634</v>
      </c>
      <c r="Q7" s="15">
        <v>20411</v>
      </c>
      <c r="R7" s="15">
        <v>19240</v>
      </c>
      <c r="S7" s="15">
        <v>22545</v>
      </c>
      <c r="T7" s="15">
        <v>22591</v>
      </c>
    </row>
    <row r="8" spans="1:20" ht="16.8">
      <c r="A8" s="60" t="s">
        <v>1</v>
      </c>
      <c r="B8" s="4"/>
      <c r="C8" s="70">
        <v>6006</v>
      </c>
      <c r="D8" s="54">
        <v>8926</v>
      </c>
      <c r="E8" s="54">
        <v>6480</v>
      </c>
      <c r="F8" s="54">
        <v>6795</v>
      </c>
      <c r="G8" s="54">
        <v>9684</v>
      </c>
      <c r="H8" s="54">
        <v>9519</v>
      </c>
      <c r="I8" s="58"/>
      <c r="M8" s="13" t="s">
        <v>98</v>
      </c>
      <c r="N8" s="21">
        <v>26532</v>
      </c>
      <c r="O8" s="15">
        <v>27194</v>
      </c>
      <c r="P8" s="15">
        <v>29223</v>
      </c>
      <c r="Q8" s="15">
        <v>26973</v>
      </c>
      <c r="R8" s="15">
        <v>14601</v>
      </c>
      <c r="S8" s="15">
        <v>19950</v>
      </c>
      <c r="T8" s="15">
        <v>19724</v>
      </c>
    </row>
    <row r="9" spans="1:20" ht="16.8">
      <c r="A9" s="60" t="s">
        <v>2</v>
      </c>
      <c r="B9" s="4"/>
      <c r="C9" s="71">
        <v>9352</v>
      </c>
      <c r="D9" s="56">
        <v>2025</v>
      </c>
      <c r="E9" s="56">
        <v>1467</v>
      </c>
      <c r="F9" s="56">
        <v>1771</v>
      </c>
      <c r="G9" s="56">
        <v>1242</v>
      </c>
      <c r="H9" s="56">
        <v>1043</v>
      </c>
      <c r="I9" s="58"/>
      <c r="M9" s="13" t="s">
        <v>96</v>
      </c>
      <c r="N9" s="21">
        <f>N7-N8</f>
        <v>7478</v>
      </c>
      <c r="O9" s="16">
        <f>O7-O8</f>
        <v>9351</v>
      </c>
      <c r="P9" s="16">
        <f t="shared" ref="P9:T9" si="0">P7-P8</f>
        <v>1411</v>
      </c>
      <c r="Q9" s="16">
        <f t="shared" si="0"/>
        <v>-6562</v>
      </c>
      <c r="R9" s="16">
        <f t="shared" si="0"/>
        <v>4639</v>
      </c>
      <c r="S9" s="16">
        <f t="shared" si="0"/>
        <v>2595</v>
      </c>
      <c r="T9" s="16">
        <f t="shared" si="0"/>
        <v>2867</v>
      </c>
    </row>
    <row r="10" spans="1:20" ht="33.6">
      <c r="A10" s="60" t="s">
        <v>3</v>
      </c>
      <c r="B10" s="4"/>
      <c r="C10" s="71">
        <v>15358</v>
      </c>
      <c r="D10" s="56">
        <v>10951</v>
      </c>
      <c r="E10" s="56">
        <v>7947</v>
      </c>
      <c r="F10" s="56">
        <v>8566</v>
      </c>
      <c r="G10" s="56">
        <v>10926</v>
      </c>
      <c r="H10" s="56">
        <v>10562</v>
      </c>
      <c r="I10" s="58"/>
      <c r="M10" s="47" t="s">
        <v>236</v>
      </c>
      <c r="N10" s="48">
        <f>N7/N8</f>
        <v>1.2818483340871401</v>
      </c>
      <c r="O10" s="48">
        <f t="shared" ref="O10:T10" si="1">O7/O8</f>
        <v>1.3438626167536956</v>
      </c>
      <c r="P10" s="48">
        <f t="shared" si="1"/>
        <v>1.048283885980221</v>
      </c>
      <c r="Q10" s="48">
        <f t="shared" si="1"/>
        <v>0.75671968264560863</v>
      </c>
      <c r="R10" s="48">
        <f t="shared" si="1"/>
        <v>1.317717964522978</v>
      </c>
      <c r="S10" s="48">
        <f t="shared" si="1"/>
        <v>1.1300751879699249</v>
      </c>
      <c r="T10" s="48">
        <f t="shared" si="1"/>
        <v>1.1453559115798013</v>
      </c>
    </row>
    <row r="11" spans="1:20" ht="16.8">
      <c r="A11" s="60" t="s">
        <v>4</v>
      </c>
      <c r="B11" s="4"/>
      <c r="C11" s="71">
        <v>5317</v>
      </c>
      <c r="D11" s="56">
        <v>5013</v>
      </c>
      <c r="E11" s="56">
        <v>3228</v>
      </c>
      <c r="F11" s="56">
        <v>2348</v>
      </c>
      <c r="G11" s="56">
        <v>1699</v>
      </c>
      <c r="H11" s="56">
        <v>1069</v>
      </c>
      <c r="I11" s="58"/>
    </row>
    <row r="12" spans="1:20" ht="33.6">
      <c r="A12" s="60" t="s">
        <v>5</v>
      </c>
      <c r="B12" s="4"/>
      <c r="C12" s="71">
        <v>3667</v>
      </c>
      <c r="D12" s="56">
        <v>3396</v>
      </c>
      <c r="E12" s="56">
        <v>3971</v>
      </c>
      <c r="F12" s="56">
        <v>3144</v>
      </c>
      <c r="G12" s="56">
        <v>3512</v>
      </c>
      <c r="H12" s="56">
        <v>3487</v>
      </c>
      <c r="I12" s="58"/>
    </row>
    <row r="13" spans="1:20" ht="16.8">
      <c r="A13" s="60" t="s">
        <v>6</v>
      </c>
      <c r="B13" s="4"/>
      <c r="C13" s="71">
        <v>2655</v>
      </c>
      <c r="D13" s="56">
        <v>2766</v>
      </c>
      <c r="E13" s="56">
        <v>3379</v>
      </c>
      <c r="F13" s="56">
        <v>3266</v>
      </c>
      <c r="G13" s="56">
        <v>3414</v>
      </c>
      <c r="H13" s="56">
        <v>4233</v>
      </c>
      <c r="I13" s="58"/>
    </row>
    <row r="14" spans="1:20" ht="16.8">
      <c r="A14" s="60" t="s">
        <v>7</v>
      </c>
      <c r="B14" s="4"/>
      <c r="C14" s="71">
        <v>2000</v>
      </c>
      <c r="D14" s="56">
        <v>1962</v>
      </c>
      <c r="E14" s="56">
        <v>1886</v>
      </c>
      <c r="F14" s="56">
        <v>1916</v>
      </c>
      <c r="G14" s="56">
        <v>2994</v>
      </c>
      <c r="H14" s="56">
        <v>3240</v>
      </c>
      <c r="I14" s="58"/>
    </row>
    <row r="15" spans="1:20" ht="16.8">
      <c r="A15" s="60" t="s">
        <v>84</v>
      </c>
      <c r="B15" s="4"/>
      <c r="C15" s="71">
        <v>219</v>
      </c>
      <c r="D15" s="56">
        <v>0</v>
      </c>
      <c r="E15" s="56" t="s">
        <v>88</v>
      </c>
      <c r="F15" s="56" t="s">
        <v>88</v>
      </c>
      <c r="G15" s="56" t="s">
        <v>88</v>
      </c>
      <c r="H15" s="56" t="s">
        <v>88</v>
      </c>
      <c r="I15" s="58"/>
    </row>
    <row r="16" spans="1:20" ht="16.8">
      <c r="A16" s="60" t="s">
        <v>85</v>
      </c>
      <c r="B16" s="4"/>
      <c r="C16" s="71">
        <v>7329</v>
      </c>
      <c r="D16" s="56">
        <v>6546</v>
      </c>
      <c r="E16" s="56" t="s">
        <v>88</v>
      </c>
      <c r="F16" s="56" t="s">
        <v>88</v>
      </c>
      <c r="G16" s="56" t="s">
        <v>88</v>
      </c>
      <c r="H16" s="56" t="s">
        <v>88</v>
      </c>
      <c r="I16" s="58"/>
    </row>
    <row r="17" spans="1:13" ht="16.8">
      <c r="A17" s="61" t="s">
        <v>8</v>
      </c>
      <c r="B17" s="4"/>
      <c r="C17" s="71">
        <v>36545</v>
      </c>
      <c r="D17" s="56">
        <v>30634</v>
      </c>
      <c r="E17" s="56">
        <v>20411</v>
      </c>
      <c r="F17" s="56">
        <v>19240</v>
      </c>
      <c r="G17" s="56">
        <v>22545</v>
      </c>
      <c r="H17" s="56">
        <v>22591</v>
      </c>
      <c r="I17" s="58"/>
    </row>
    <row r="18" spans="1:13" ht="16.8">
      <c r="A18" s="60" t="s">
        <v>9</v>
      </c>
      <c r="B18" s="4"/>
      <c r="C18" s="71">
        <v>20856</v>
      </c>
      <c r="D18" s="56">
        <v>19407</v>
      </c>
      <c r="E18" s="56">
        <v>19025</v>
      </c>
      <c r="F18" s="56">
        <v>19273</v>
      </c>
      <c r="G18" s="56">
        <v>17598</v>
      </c>
      <c r="H18" s="56">
        <v>18264</v>
      </c>
      <c r="I18" s="58"/>
      <c r="M18" t="s">
        <v>246</v>
      </c>
    </row>
    <row r="19" spans="1:13" ht="16.8">
      <c r="A19" s="60" t="s">
        <v>10</v>
      </c>
      <c r="B19" s="4"/>
      <c r="C19" s="71">
        <v>1096</v>
      </c>
      <c r="D19" s="56">
        <v>867</v>
      </c>
      <c r="E19" s="56">
        <v>854</v>
      </c>
      <c r="F19" s="56">
        <v>812</v>
      </c>
      <c r="G19" s="56">
        <v>818</v>
      </c>
      <c r="H19" s="56">
        <v>501</v>
      </c>
      <c r="I19" s="58"/>
    </row>
    <row r="20" spans="1:13" ht="16.8">
      <c r="A20" s="60" t="s">
        <v>11</v>
      </c>
      <c r="B20" s="4"/>
      <c r="C20" s="71">
        <v>4560</v>
      </c>
      <c r="D20" s="56">
        <v>4139</v>
      </c>
      <c r="E20" s="56">
        <v>6075</v>
      </c>
      <c r="F20" s="56">
        <v>6184</v>
      </c>
      <c r="G20" s="56">
        <v>6731</v>
      </c>
      <c r="H20" s="56">
        <v>6189</v>
      </c>
      <c r="I20" s="58"/>
    </row>
    <row r="21" spans="1:13" ht="16.8">
      <c r="A21" s="60" t="s">
        <v>12</v>
      </c>
      <c r="B21" s="4"/>
      <c r="C21" s="71">
        <v>2522</v>
      </c>
      <c r="D21" s="56">
        <v>2667</v>
      </c>
      <c r="E21" s="56">
        <v>2412</v>
      </c>
      <c r="F21" s="56">
        <v>2460</v>
      </c>
      <c r="G21" s="56">
        <v>2129</v>
      </c>
      <c r="H21" s="56">
        <v>1746</v>
      </c>
      <c r="I21" s="58"/>
    </row>
    <row r="22" spans="1:13" ht="16.8">
      <c r="A22" s="60" t="s">
        <v>13</v>
      </c>
      <c r="B22" s="4"/>
      <c r="C22" s="71">
        <v>8203</v>
      </c>
      <c r="D22" s="56">
        <v>8232</v>
      </c>
      <c r="E22" s="56">
        <v>10838</v>
      </c>
      <c r="F22" s="56">
        <v>10777</v>
      </c>
      <c r="G22" s="56">
        <v>9920</v>
      </c>
      <c r="H22" s="56">
        <v>9841</v>
      </c>
      <c r="I22" s="58"/>
    </row>
    <row r="23" spans="1:13" ht="16.8">
      <c r="A23" s="60" t="s">
        <v>14</v>
      </c>
      <c r="B23" s="4"/>
      <c r="C23" s="71">
        <v>6729</v>
      </c>
      <c r="D23" s="56">
        <v>6682</v>
      </c>
      <c r="E23" s="56">
        <v>9266</v>
      </c>
      <c r="F23" s="56">
        <v>10395</v>
      </c>
      <c r="G23" s="56">
        <v>14465</v>
      </c>
      <c r="H23" s="56">
        <v>14214</v>
      </c>
      <c r="I23" s="58"/>
    </row>
    <row r="24" spans="1:13" ht="16.8">
      <c r="A24" s="60" t="s">
        <v>80</v>
      </c>
      <c r="B24" s="4"/>
      <c r="C24" s="71">
        <v>138</v>
      </c>
      <c r="D24" s="56">
        <v>51</v>
      </c>
      <c r="E24" s="56">
        <v>109</v>
      </c>
      <c r="F24" s="56" t="s">
        <v>88</v>
      </c>
      <c r="G24" s="56" t="s">
        <v>88</v>
      </c>
      <c r="H24" s="56" t="s">
        <v>88</v>
      </c>
      <c r="I24" s="58"/>
    </row>
    <row r="25" spans="1:13" ht="16.8">
      <c r="A25" s="60" t="s">
        <v>15</v>
      </c>
      <c r="B25" s="4"/>
      <c r="C25" s="71">
        <v>9401</v>
      </c>
      <c r="D25" s="56">
        <v>10263</v>
      </c>
      <c r="E25" s="56">
        <v>16764</v>
      </c>
      <c r="F25" s="56">
        <v>17506</v>
      </c>
      <c r="G25" s="56">
        <v>19363</v>
      </c>
      <c r="H25" s="56">
        <v>18782</v>
      </c>
      <c r="I25" s="58"/>
    </row>
    <row r="26" spans="1:13" ht="16.8">
      <c r="A26" s="60" t="s">
        <v>16</v>
      </c>
      <c r="B26" s="4"/>
      <c r="C26" s="71">
        <v>368</v>
      </c>
      <c r="D26" s="56">
        <v>274</v>
      </c>
      <c r="E26" s="56">
        <v>627</v>
      </c>
      <c r="F26" s="56">
        <v>649</v>
      </c>
      <c r="G26" s="56">
        <v>785</v>
      </c>
      <c r="H26" s="56">
        <v>635</v>
      </c>
      <c r="I26" s="58"/>
    </row>
    <row r="27" spans="1:13" ht="16.8">
      <c r="A27" s="60" t="s">
        <v>17</v>
      </c>
      <c r="B27" s="4"/>
      <c r="C27" s="71">
        <v>87896</v>
      </c>
      <c r="D27" s="56">
        <v>83216</v>
      </c>
      <c r="E27" s="56">
        <v>86381</v>
      </c>
      <c r="F27" s="56">
        <v>87296</v>
      </c>
      <c r="G27" s="56">
        <v>94354</v>
      </c>
      <c r="H27" s="56">
        <v>92763</v>
      </c>
      <c r="I27" s="58"/>
    </row>
    <row r="28" spans="1:13" ht="16.8">
      <c r="A28" s="61" t="s">
        <v>18</v>
      </c>
      <c r="B28" s="4"/>
      <c r="C28" s="71"/>
      <c r="D28" s="57"/>
      <c r="E28" s="56"/>
      <c r="F28" s="57"/>
      <c r="G28" s="57"/>
      <c r="H28" s="68" t="s">
        <v>27</v>
      </c>
      <c r="I28" s="58"/>
    </row>
    <row r="29" spans="1:13" ht="16.8">
      <c r="A29" s="60" t="s">
        <v>19</v>
      </c>
      <c r="B29" s="4"/>
      <c r="C29" s="71">
        <v>8748</v>
      </c>
      <c r="D29" s="56">
        <v>8932</v>
      </c>
      <c r="E29" s="56">
        <v>11312</v>
      </c>
      <c r="F29" s="56">
        <v>11145</v>
      </c>
      <c r="G29" s="56">
        <v>14619</v>
      </c>
      <c r="H29" s="56">
        <v>15749</v>
      </c>
      <c r="I29" s="58"/>
    </row>
    <row r="30" spans="1:13" ht="16.8">
      <c r="A30" s="60" t="s">
        <v>20</v>
      </c>
      <c r="B30" s="4"/>
      <c r="C30" s="71">
        <v>13205</v>
      </c>
      <c r="D30" s="56">
        <v>13194</v>
      </c>
      <c r="E30" s="56">
        <v>10994</v>
      </c>
      <c r="F30" s="56">
        <v>2183</v>
      </c>
      <c r="G30" s="56">
        <v>3307</v>
      </c>
      <c r="H30" s="56">
        <v>2373</v>
      </c>
      <c r="I30" s="58"/>
    </row>
    <row r="31" spans="1:13" ht="16.8">
      <c r="A31" s="60" t="s">
        <v>21</v>
      </c>
      <c r="B31" s="4"/>
      <c r="C31" s="71">
        <v>3298</v>
      </c>
      <c r="D31" s="56">
        <v>4997</v>
      </c>
      <c r="E31" s="56">
        <v>4253</v>
      </c>
      <c r="F31" s="56">
        <v>485</v>
      </c>
      <c r="G31" s="56">
        <v>1338</v>
      </c>
      <c r="H31" s="56">
        <v>399</v>
      </c>
      <c r="I31" s="58"/>
    </row>
    <row r="32" spans="1:13" ht="16.8">
      <c r="A32" s="60" t="s">
        <v>22</v>
      </c>
      <c r="B32" s="4"/>
      <c r="C32" s="71">
        <v>410</v>
      </c>
      <c r="D32" s="56">
        <v>378</v>
      </c>
      <c r="E32" s="56">
        <v>414</v>
      </c>
      <c r="F32" s="56">
        <v>788</v>
      </c>
      <c r="G32" s="56">
        <v>686</v>
      </c>
      <c r="H32" s="56">
        <v>1203</v>
      </c>
      <c r="I32" s="58"/>
    </row>
    <row r="33" spans="1:9" ht="16.8">
      <c r="A33" s="60" t="s">
        <v>86</v>
      </c>
      <c r="B33" s="4"/>
      <c r="C33" s="71">
        <v>37</v>
      </c>
      <c r="D33" s="56">
        <v>0</v>
      </c>
      <c r="E33" s="56" t="s">
        <v>88</v>
      </c>
      <c r="F33" s="56" t="s">
        <v>88</v>
      </c>
      <c r="G33" s="56" t="s">
        <v>88</v>
      </c>
      <c r="H33" s="56" t="s">
        <v>88</v>
      </c>
      <c r="I33" s="58"/>
    </row>
    <row r="34" spans="1:9" ht="16.8">
      <c r="A34" s="60" t="s">
        <v>87</v>
      </c>
      <c r="B34" s="4"/>
      <c r="C34" s="71">
        <v>1496</v>
      </c>
      <c r="D34" s="56">
        <v>1722</v>
      </c>
      <c r="E34" s="56" t="s">
        <v>88</v>
      </c>
      <c r="F34" s="56" t="s">
        <v>88</v>
      </c>
      <c r="G34" s="56" t="s">
        <v>88</v>
      </c>
      <c r="H34" s="56" t="s">
        <v>88</v>
      </c>
      <c r="I34" s="58"/>
    </row>
    <row r="35" spans="1:9" ht="16.8">
      <c r="A35" s="61" t="s">
        <v>23</v>
      </c>
      <c r="B35" s="4"/>
      <c r="C35" s="93">
        <v>27194</v>
      </c>
      <c r="D35" s="94">
        <v>29223</v>
      </c>
      <c r="E35" s="94">
        <v>26973</v>
      </c>
      <c r="F35" s="94">
        <v>14601</v>
      </c>
      <c r="G35" s="94">
        <v>19950</v>
      </c>
      <c r="H35" s="94">
        <v>19724</v>
      </c>
      <c r="I35" s="58"/>
    </row>
    <row r="36" spans="1:9" ht="16.8">
      <c r="A36" s="60" t="s">
        <v>24</v>
      </c>
      <c r="B36" s="4"/>
      <c r="C36" s="71">
        <v>31182</v>
      </c>
      <c r="D36" s="56">
        <v>25364</v>
      </c>
      <c r="E36" s="56">
        <v>27516</v>
      </c>
      <c r="F36" s="56">
        <v>40125</v>
      </c>
      <c r="G36" s="56">
        <v>38116</v>
      </c>
      <c r="H36" s="56">
        <v>36377</v>
      </c>
      <c r="I36" s="58"/>
    </row>
    <row r="37" spans="1:9" ht="16.8">
      <c r="A37" s="60" t="s">
        <v>25</v>
      </c>
      <c r="B37" s="4"/>
      <c r="C37" s="71">
        <v>8021</v>
      </c>
      <c r="D37" s="56">
        <v>7638</v>
      </c>
      <c r="E37" s="56">
        <v>8510</v>
      </c>
      <c r="F37" s="56">
        <v>9453</v>
      </c>
      <c r="G37" s="56">
        <v>8607</v>
      </c>
      <c r="H37" s="56">
        <v>7922</v>
      </c>
      <c r="I37" s="58"/>
    </row>
    <row r="38" spans="1:9" ht="16.8">
      <c r="A38" s="60" t="s">
        <v>26</v>
      </c>
      <c r="B38" s="4"/>
      <c r="C38" s="71">
        <v>2522</v>
      </c>
      <c r="D38" s="56">
        <v>1933</v>
      </c>
      <c r="E38" s="56">
        <v>2284</v>
      </c>
      <c r="F38" s="56">
        <v>1833</v>
      </c>
      <c r="G38" s="56">
        <v>2821</v>
      </c>
      <c r="H38" s="56">
        <v>2914</v>
      </c>
      <c r="I38" s="58"/>
    </row>
    <row r="39" spans="1:9" ht="17.399999999999999" thickBot="1">
      <c r="A39" s="98" t="s">
        <v>190</v>
      </c>
      <c r="C39" s="95">
        <f t="shared" ref="C39:G39" si="2">C35+C36+C37+C38</f>
        <v>68919</v>
      </c>
      <c r="D39" s="96">
        <f t="shared" si="2"/>
        <v>64158</v>
      </c>
      <c r="E39" s="96">
        <f t="shared" si="2"/>
        <v>65283</v>
      </c>
      <c r="F39" s="96">
        <f t="shared" si="2"/>
        <v>66012</v>
      </c>
      <c r="G39" s="96">
        <f t="shared" si="2"/>
        <v>69494</v>
      </c>
      <c r="H39" s="96">
        <f>H35+H36+H37+H38</f>
        <v>66937</v>
      </c>
      <c r="I39" s="97"/>
    </row>
    <row r="40" spans="1:9">
      <c r="D40" s="3"/>
      <c r="F40" s="2"/>
    </row>
    <row r="41" spans="1:9">
      <c r="F41" s="2"/>
    </row>
    <row r="42" spans="1:9">
      <c r="F42" s="2"/>
    </row>
    <row r="43" spans="1:9">
      <c r="F43" s="2"/>
    </row>
    <row r="44" spans="1:9">
      <c r="F44" s="2"/>
    </row>
    <row r="45" spans="1:9">
      <c r="F45" s="2"/>
    </row>
    <row r="46" spans="1:9">
      <c r="F46" s="2"/>
    </row>
    <row r="47" spans="1:9">
      <c r="F47" s="2"/>
    </row>
    <row r="48" spans="1:9">
      <c r="F48" s="1"/>
    </row>
  </sheetData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theme="4" tint="-0.499984740745262"/>
          <x14:colorNegative theme="9"/>
          <x14:colorAxis rgb="FF000000"/>
          <x14:colorMarkers theme="8" tint="-0.499984740745262"/>
          <x14:colorFirst theme="8" tint="0.39997558519241921"/>
          <x14:colorLast theme="8" tint="0.39997558519241921"/>
          <x14:colorHigh theme="8"/>
          <x14:colorLow theme="8"/>
          <x14:sparklines>
            <x14:sparkline>
              <xm:f>'Balance sheet'!C8:H8</xm:f>
              <xm:sqref>I8</xm:sqref>
            </x14:sparkline>
            <x14:sparkline>
              <xm:f>'Balance sheet'!C9:H9</xm:f>
              <xm:sqref>I9</xm:sqref>
            </x14:sparkline>
            <x14:sparkline>
              <xm:f>'Balance sheet'!C10:H10</xm:f>
              <xm:sqref>I10</xm:sqref>
            </x14:sparkline>
            <x14:sparkline>
              <xm:f>'Balance sheet'!C11:H11</xm:f>
              <xm:sqref>I11</xm:sqref>
            </x14:sparkline>
            <x14:sparkline>
              <xm:f>'Balance sheet'!C12:H12</xm:f>
              <xm:sqref>I12</xm:sqref>
            </x14:sparkline>
            <x14:sparkline>
              <xm:f>'Balance sheet'!C13:H13</xm:f>
              <xm:sqref>I13</xm:sqref>
            </x14:sparkline>
            <x14:sparkline>
              <xm:f>'Balance sheet'!C14:H14</xm:f>
              <xm:sqref>I14</xm:sqref>
            </x14:sparkline>
            <x14:sparkline>
              <xm:f>'Balance sheet'!C15:H15</xm:f>
              <xm:sqref>I15</xm:sqref>
            </x14:sparkline>
            <x14:sparkline>
              <xm:f>'Balance sheet'!C16:H16</xm:f>
              <xm:sqref>I16</xm:sqref>
            </x14:sparkline>
            <x14:sparkline>
              <xm:f>'Balance sheet'!C17:H17</xm:f>
              <xm:sqref>I17</xm:sqref>
            </x14:sparkline>
            <x14:sparkline>
              <xm:f>'Balance sheet'!C18:H18</xm:f>
              <xm:sqref>I18</xm:sqref>
            </x14:sparkline>
            <x14:sparkline>
              <xm:f>'Balance sheet'!C19:H19</xm:f>
              <xm:sqref>I19</xm:sqref>
            </x14:sparkline>
            <x14:sparkline>
              <xm:f>'Balance sheet'!C20:H20</xm:f>
              <xm:sqref>I20</xm:sqref>
            </x14:sparkline>
            <x14:sparkline>
              <xm:f>'Balance sheet'!C21:H21</xm:f>
              <xm:sqref>I21</xm:sqref>
            </x14:sparkline>
            <x14:sparkline>
              <xm:f>'Balance sheet'!C22:H22</xm:f>
              <xm:sqref>I22</xm:sqref>
            </x14:sparkline>
            <x14:sparkline>
              <xm:f>'Balance sheet'!C23:H23</xm:f>
              <xm:sqref>I23</xm:sqref>
            </x14:sparkline>
            <x14:sparkline>
              <xm:f>'Balance sheet'!C24:H24</xm:f>
              <xm:sqref>I24</xm:sqref>
            </x14:sparkline>
            <x14:sparkline>
              <xm:f>'Balance sheet'!C25:H25</xm:f>
              <xm:sqref>I25</xm:sqref>
            </x14:sparkline>
            <x14:sparkline>
              <xm:f>'Balance sheet'!C26:H26</xm:f>
              <xm:sqref>I26</xm:sqref>
            </x14:sparkline>
            <x14:sparkline>
              <xm:f>'Balance sheet'!C27:H27</xm:f>
              <xm:sqref>I27</xm:sqref>
            </x14:sparkline>
            <x14:sparkline>
              <xm:f>'Balance sheet'!C28:H28</xm:f>
              <xm:sqref>I28</xm:sqref>
            </x14:sparkline>
            <x14:sparkline>
              <xm:f>'Balance sheet'!C29:H29</xm:f>
              <xm:sqref>I29</xm:sqref>
            </x14:sparkline>
            <x14:sparkline>
              <xm:f>'Balance sheet'!C30:H30</xm:f>
              <xm:sqref>I30</xm:sqref>
            </x14:sparkline>
            <x14:sparkline>
              <xm:f>'Balance sheet'!C31:H31</xm:f>
              <xm:sqref>I31</xm:sqref>
            </x14:sparkline>
            <x14:sparkline>
              <xm:f>'Balance sheet'!C32:H32</xm:f>
              <xm:sqref>I32</xm:sqref>
            </x14:sparkline>
            <x14:sparkline>
              <xm:f>'Balance sheet'!C33:H33</xm:f>
              <xm:sqref>I33</xm:sqref>
            </x14:sparkline>
            <x14:sparkline>
              <xm:f>'Balance sheet'!C34:H34</xm:f>
              <xm:sqref>I34</xm:sqref>
            </x14:sparkline>
            <x14:sparkline>
              <xm:f>'Balance sheet'!C35:H35</xm:f>
              <xm:sqref>I35</xm:sqref>
            </x14:sparkline>
            <x14:sparkline>
              <xm:f>'Balance sheet'!C36:H36</xm:f>
              <xm:sqref>I36</xm:sqref>
            </x14:sparkline>
            <x14:sparkline>
              <xm:f>'Balance sheet'!C37:H37</xm:f>
              <xm:sqref>I37</xm:sqref>
            </x14:sparkline>
            <x14:sparkline>
              <xm:f>'Balance sheet'!C38:H38</xm:f>
              <xm:sqref>I38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0"/>
  <sheetViews>
    <sheetView zoomScale="83" workbookViewId="0">
      <pane xSplit="1" topLeftCell="B1" activePane="topRight" state="frozen"/>
      <selection pane="topRight" activeCell="A2" sqref="A2"/>
    </sheetView>
  </sheetViews>
  <sheetFormatPr defaultRowHeight="16.8"/>
  <cols>
    <col min="1" max="1" width="51.21875" style="7" customWidth="1"/>
    <col min="2" max="2" width="8.88671875" style="7"/>
    <col min="3" max="3" width="14.88671875" style="7" customWidth="1"/>
    <col min="4" max="4" width="14.5546875" style="7" customWidth="1"/>
    <col min="5" max="5" width="13.77734375" style="7" customWidth="1"/>
    <col min="6" max="6" width="14.44140625" style="7" customWidth="1"/>
    <col min="7" max="7" width="16" style="7" bestFit="1" customWidth="1"/>
    <col min="8" max="8" width="15" style="7" customWidth="1"/>
    <col min="9" max="9" width="14.77734375" style="7" customWidth="1"/>
    <col min="10" max="16384" width="8.88671875" style="7"/>
  </cols>
  <sheetData>
    <row r="1" spans="1:9" ht="17.399999999999999" thickBot="1"/>
    <row r="2" spans="1:9" ht="17.399999999999999" thickBot="1">
      <c r="A2" s="99" t="s">
        <v>247</v>
      </c>
    </row>
    <row r="3" spans="1:9" ht="19.2">
      <c r="C3" s="65">
        <v>2017</v>
      </c>
      <c r="D3" s="53">
        <v>2018</v>
      </c>
      <c r="E3" s="53">
        <v>2019</v>
      </c>
      <c r="F3" s="53">
        <v>2020</v>
      </c>
      <c r="G3" s="53">
        <v>2021</v>
      </c>
      <c r="H3" s="53">
        <v>2022</v>
      </c>
      <c r="I3" s="81"/>
    </row>
    <row r="4" spans="1:9" ht="17.399999999999999" thickBot="1">
      <c r="C4" s="67"/>
      <c r="D4" s="57"/>
      <c r="E4" s="57"/>
      <c r="F4" s="57"/>
      <c r="G4" s="57"/>
      <c r="H4" s="57"/>
      <c r="I4" s="82"/>
    </row>
    <row r="5" spans="1:9">
      <c r="A5" s="87" t="s">
        <v>28</v>
      </c>
      <c r="C5" s="70">
        <v>35410</v>
      </c>
      <c r="D5" s="54">
        <v>31856</v>
      </c>
      <c r="E5" s="54">
        <v>37266</v>
      </c>
      <c r="F5" s="54">
        <v>33014</v>
      </c>
      <c r="G5" s="54">
        <v>38655</v>
      </c>
      <c r="H5" s="54">
        <v>43004</v>
      </c>
      <c r="I5" s="82"/>
    </row>
    <row r="6" spans="1:9">
      <c r="A6" s="88" t="s">
        <v>29</v>
      </c>
      <c r="C6" s="71">
        <v>13256</v>
      </c>
      <c r="D6" s="56">
        <v>11770</v>
      </c>
      <c r="E6" s="56">
        <v>14619</v>
      </c>
      <c r="F6" s="56">
        <v>13433</v>
      </c>
      <c r="G6" s="56">
        <v>15357</v>
      </c>
      <c r="H6" s="56">
        <v>18000</v>
      </c>
      <c r="I6" s="82"/>
    </row>
    <row r="7" spans="1:9">
      <c r="A7" s="88" t="s">
        <v>30</v>
      </c>
      <c r="C7" s="71">
        <v>22154</v>
      </c>
      <c r="D7" s="56">
        <v>20086</v>
      </c>
      <c r="E7" s="56">
        <v>22647</v>
      </c>
      <c r="F7" s="56">
        <v>19581</v>
      </c>
      <c r="G7" s="56">
        <v>23298</v>
      </c>
      <c r="H7" s="56">
        <v>25004</v>
      </c>
      <c r="I7" s="82"/>
    </row>
    <row r="8" spans="1:9">
      <c r="A8" s="88" t="s">
        <v>31</v>
      </c>
      <c r="C8" s="71">
        <v>12496</v>
      </c>
      <c r="D8" s="56">
        <v>10307</v>
      </c>
      <c r="E8" s="56">
        <v>12103</v>
      </c>
      <c r="F8" s="56">
        <v>9731</v>
      </c>
      <c r="G8" s="56">
        <v>12144</v>
      </c>
      <c r="H8" s="56">
        <v>12880</v>
      </c>
      <c r="I8" s="82"/>
    </row>
    <row r="9" spans="1:9">
      <c r="A9" s="88" t="s">
        <v>32</v>
      </c>
      <c r="C9" s="71">
        <v>2157</v>
      </c>
      <c r="D9" s="56">
        <v>1079</v>
      </c>
      <c r="E9" s="56">
        <v>458</v>
      </c>
      <c r="F9" s="56">
        <v>853</v>
      </c>
      <c r="G9" s="56">
        <v>846</v>
      </c>
      <c r="H9" s="56">
        <v>1215</v>
      </c>
      <c r="I9" s="82"/>
    </row>
    <row r="10" spans="1:9" ht="17.399999999999999" thickBot="1">
      <c r="A10" s="63" t="s">
        <v>33</v>
      </c>
      <c r="C10" s="74">
        <v>7501</v>
      </c>
      <c r="D10" s="75">
        <v>8700</v>
      </c>
      <c r="E10" s="75">
        <v>10086</v>
      </c>
      <c r="F10" s="75">
        <v>8997</v>
      </c>
      <c r="G10" s="75">
        <v>10308</v>
      </c>
      <c r="H10" s="75">
        <v>10909</v>
      </c>
      <c r="I10" s="86"/>
    </row>
    <row r="11" spans="1:9">
      <c r="A11" s="8"/>
      <c r="C11" s="6"/>
      <c r="D11" s="6"/>
      <c r="E11" s="6"/>
      <c r="F11" s="6"/>
      <c r="G11" s="6"/>
      <c r="H11" s="6"/>
    </row>
    <row r="12" spans="1:9">
      <c r="A12" s="89" t="s">
        <v>89</v>
      </c>
      <c r="C12" s="6"/>
      <c r="D12" s="12">
        <f>(D5-C5)/C5</f>
        <v>-0.10036712792996329</v>
      </c>
      <c r="E12" s="12">
        <f t="shared" ref="E12:H12" si="0">(E5-D5)/D5</f>
        <v>0.16982672024108489</v>
      </c>
      <c r="F12" s="12">
        <f t="shared" si="0"/>
        <v>-0.11409864219395696</v>
      </c>
      <c r="G12" s="12">
        <f t="shared" si="0"/>
        <v>0.17086690494941539</v>
      </c>
      <c r="H12" s="12">
        <f t="shared" si="0"/>
        <v>0.11250808433579097</v>
      </c>
    </row>
    <row r="13" spans="1:9">
      <c r="A13" s="9"/>
      <c r="C13" s="6"/>
      <c r="D13" s="6"/>
      <c r="E13" s="6"/>
      <c r="F13" s="6"/>
      <c r="G13" s="23" t="s">
        <v>90</v>
      </c>
      <c r="H13" s="24">
        <f>AVERAGE(D12:H12)</f>
        <v>4.7747187880474197E-2</v>
      </c>
    </row>
    <row r="14" spans="1:9" ht="17.399999999999999" thickBot="1">
      <c r="A14" s="9"/>
      <c r="C14" s="6"/>
      <c r="D14" s="6"/>
      <c r="E14" s="6"/>
      <c r="F14" s="6"/>
      <c r="G14" s="6"/>
      <c r="H14" s="6"/>
    </row>
    <row r="15" spans="1:9">
      <c r="A15" s="87" t="s">
        <v>34</v>
      </c>
      <c r="C15" s="79">
        <v>677</v>
      </c>
      <c r="D15" s="80">
        <v>682</v>
      </c>
      <c r="E15" s="80">
        <v>563</v>
      </c>
      <c r="F15" s="80">
        <v>370</v>
      </c>
      <c r="G15" s="80">
        <v>276</v>
      </c>
      <c r="H15" s="80">
        <v>449</v>
      </c>
      <c r="I15" s="81"/>
    </row>
    <row r="16" spans="1:9">
      <c r="A16" s="88" t="s">
        <v>35</v>
      </c>
      <c r="C16" s="71">
        <v>841</v>
      </c>
      <c r="D16" s="56">
        <v>919</v>
      </c>
      <c r="E16" s="56">
        <v>946</v>
      </c>
      <c r="F16" s="56">
        <v>1437</v>
      </c>
      <c r="G16" s="56">
        <v>1597</v>
      </c>
      <c r="H16" s="56">
        <v>882</v>
      </c>
      <c r="I16" s="82"/>
    </row>
    <row r="17" spans="1:9">
      <c r="A17" s="88" t="s">
        <v>36</v>
      </c>
      <c r="C17" s="71">
        <v>1071</v>
      </c>
      <c r="D17" s="56">
        <v>1008</v>
      </c>
      <c r="E17" s="56">
        <v>1049</v>
      </c>
      <c r="F17" s="56">
        <v>978</v>
      </c>
      <c r="G17" s="56">
        <v>1438</v>
      </c>
      <c r="H17" s="56">
        <v>1472</v>
      </c>
      <c r="I17" s="82"/>
    </row>
    <row r="18" spans="1:9">
      <c r="A18" s="88" t="s">
        <v>37</v>
      </c>
      <c r="C18" s="71">
        <v>-1666</v>
      </c>
      <c r="D18" s="56">
        <v>-1121</v>
      </c>
      <c r="E18" s="56">
        <v>34</v>
      </c>
      <c r="F18" s="56">
        <v>841</v>
      </c>
      <c r="G18" s="56">
        <v>2000</v>
      </c>
      <c r="H18" s="56">
        <v>-262</v>
      </c>
      <c r="I18" s="82"/>
    </row>
    <row r="19" spans="1:9">
      <c r="A19" s="88" t="s">
        <v>38</v>
      </c>
      <c r="C19" s="71">
        <v>6742</v>
      </c>
      <c r="D19" s="56">
        <v>8350</v>
      </c>
      <c r="E19" s="56">
        <v>10786</v>
      </c>
      <c r="F19" s="56">
        <v>9749</v>
      </c>
      <c r="G19" s="56">
        <v>12425</v>
      </c>
      <c r="H19" s="56">
        <v>11686</v>
      </c>
      <c r="I19" s="82"/>
    </row>
    <row r="20" spans="1:9">
      <c r="A20" s="88" t="s">
        <v>39</v>
      </c>
      <c r="C20" s="71">
        <v>5560</v>
      </c>
      <c r="D20" s="56">
        <v>1623</v>
      </c>
      <c r="E20" s="56">
        <v>1801</v>
      </c>
      <c r="F20" s="56">
        <v>1981</v>
      </c>
      <c r="G20" s="56">
        <v>2621</v>
      </c>
      <c r="H20" s="56">
        <v>2115</v>
      </c>
      <c r="I20" s="82"/>
    </row>
    <row r="21" spans="1:9">
      <c r="A21" s="88" t="s">
        <v>81</v>
      </c>
      <c r="C21" s="71">
        <v>1182</v>
      </c>
      <c r="D21" s="56">
        <v>6727</v>
      </c>
      <c r="E21" s="56" t="s">
        <v>88</v>
      </c>
      <c r="F21" s="56" t="s">
        <v>88</v>
      </c>
      <c r="G21" s="56" t="s">
        <v>88</v>
      </c>
      <c r="H21" s="56" t="s">
        <v>88</v>
      </c>
      <c r="I21" s="82"/>
    </row>
    <row r="22" spans="1:9" ht="50.4">
      <c r="A22" s="88" t="s">
        <v>82</v>
      </c>
      <c r="C22" s="71">
        <v>101</v>
      </c>
      <c r="D22" s="56">
        <v>-251</v>
      </c>
      <c r="E22" s="56" t="s">
        <v>88</v>
      </c>
      <c r="F22" s="56" t="s">
        <v>88</v>
      </c>
      <c r="G22" s="56" t="s">
        <v>88</v>
      </c>
      <c r="H22" s="56" t="s">
        <v>88</v>
      </c>
      <c r="I22" s="82"/>
    </row>
    <row r="23" spans="1:9">
      <c r="A23" s="88" t="s">
        <v>40</v>
      </c>
      <c r="C23" s="83">
        <v>1283</v>
      </c>
      <c r="D23" s="56">
        <v>6476</v>
      </c>
      <c r="E23" s="56">
        <v>8985</v>
      </c>
      <c r="F23" s="56">
        <v>7768</v>
      </c>
      <c r="G23" s="56">
        <v>9804</v>
      </c>
      <c r="H23" s="56">
        <v>9571</v>
      </c>
      <c r="I23" s="82"/>
    </row>
    <row r="24" spans="1:9">
      <c r="A24" s="90"/>
      <c r="C24" s="67"/>
      <c r="D24" s="57"/>
      <c r="E24" s="57"/>
      <c r="F24" s="57"/>
      <c r="G24" s="56"/>
      <c r="H24" s="57"/>
      <c r="I24" s="82"/>
    </row>
    <row r="25" spans="1:9">
      <c r="A25" s="88" t="s">
        <v>75</v>
      </c>
      <c r="C25" s="84">
        <v>0.28999999999999998</v>
      </c>
      <c r="D25" s="85">
        <v>1.51</v>
      </c>
      <c r="E25" s="85">
        <v>2.09</v>
      </c>
      <c r="F25" s="85">
        <v>1.8</v>
      </c>
      <c r="G25" s="85">
        <v>2.2599999999999998</v>
      </c>
      <c r="H25" s="85">
        <v>2.2000000000000002</v>
      </c>
      <c r="I25" s="82"/>
    </row>
    <row r="26" spans="1:9">
      <c r="A26" s="88" t="s">
        <v>76</v>
      </c>
      <c r="C26" s="84">
        <v>0.28999999999999998</v>
      </c>
      <c r="D26" s="85">
        <v>1.5</v>
      </c>
      <c r="E26" s="85">
        <v>2.0699999999999998</v>
      </c>
      <c r="F26" s="85">
        <v>1.79</v>
      </c>
      <c r="G26" s="85">
        <v>2.25</v>
      </c>
      <c r="H26" s="85">
        <v>2.19</v>
      </c>
      <c r="I26" s="82"/>
    </row>
    <row r="27" spans="1:9">
      <c r="A27" s="88" t="s">
        <v>77</v>
      </c>
      <c r="C27" s="71">
        <v>4272</v>
      </c>
      <c r="D27" s="56">
        <v>4259</v>
      </c>
      <c r="E27" s="56">
        <v>4276</v>
      </c>
      <c r="F27" s="56">
        <v>4295</v>
      </c>
      <c r="G27" s="56">
        <v>4315</v>
      </c>
      <c r="H27" s="56">
        <v>4328</v>
      </c>
      <c r="I27" s="82"/>
    </row>
    <row r="28" spans="1:9">
      <c r="A28" s="88" t="s">
        <v>78</v>
      </c>
      <c r="C28" s="71">
        <v>52</v>
      </c>
      <c r="D28" s="56">
        <v>40</v>
      </c>
      <c r="E28" s="56">
        <v>38</v>
      </c>
      <c r="F28" s="56">
        <v>28</v>
      </c>
      <c r="G28" s="56">
        <v>25</v>
      </c>
      <c r="H28" s="56">
        <v>22</v>
      </c>
      <c r="I28" s="82"/>
    </row>
    <row r="29" spans="1:9" ht="34.200000000000003" thickBot="1">
      <c r="A29" s="63" t="s">
        <v>79</v>
      </c>
      <c r="C29" s="74">
        <v>4324</v>
      </c>
      <c r="D29" s="75">
        <v>4299</v>
      </c>
      <c r="E29" s="75">
        <v>4314</v>
      </c>
      <c r="F29" s="75">
        <v>4323</v>
      </c>
      <c r="G29" s="75">
        <v>4340</v>
      </c>
      <c r="H29" s="75">
        <v>4350</v>
      </c>
      <c r="I29" s="86"/>
    </row>
    <row r="30" spans="1:9">
      <c r="G30" s="10"/>
    </row>
  </sheetData>
  <conditionalFormatting sqref="D12:F12">
    <cfRule type="cellIs" dxfId="6" priority="1" operator="lessThan">
      <formula>0.03</formula>
    </cfRule>
  </conditionalFormatting>
  <conditionalFormatting sqref="D12:H12">
    <cfRule type="cellIs" dxfId="5" priority="2" operator="greaterThan">
      <formula>0</formula>
    </cfRule>
    <cfRule type="cellIs" dxfId="4" priority="3" operator="greaterThan">
      <formula>0</formula>
    </cfRule>
  </conditionalFormatting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200-000001000000}">
          <x14:colorSeries theme="4" tint="-0.49998474074526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'Income statement'!C5:H5</xm:f>
              <xm:sqref>I5</xm:sqref>
            </x14:sparkline>
            <x14:sparkline>
              <xm:f>'Income statement'!C6:H6</xm:f>
              <xm:sqref>I6</xm:sqref>
            </x14:sparkline>
            <x14:sparkline>
              <xm:f>'Income statement'!C7:H7</xm:f>
              <xm:sqref>I7</xm:sqref>
            </x14:sparkline>
            <x14:sparkline>
              <xm:f>'Income statement'!C8:H8</xm:f>
              <xm:sqref>I8</xm:sqref>
            </x14:sparkline>
            <x14:sparkline>
              <xm:f>'Income statement'!C9:H9</xm:f>
              <xm:sqref>I9</xm:sqref>
            </x14:sparkline>
            <x14:sparkline>
              <xm:f>'Income statement'!C10:H10</xm:f>
              <xm:sqref>I10</xm:sqref>
            </x14:sparkline>
            <x14:sparkline>
              <xm:f>'Income statement'!C11:H11</xm:f>
              <xm:sqref>I11</xm:sqref>
            </x14:sparkline>
            <x14:sparkline>
              <xm:f>'Income statement'!C12:H12</xm:f>
              <xm:sqref>I12</xm:sqref>
            </x14:sparkline>
            <x14:sparkline>
              <xm:f>'Income statement'!C13:H13</xm:f>
              <xm:sqref>I13</xm:sqref>
            </x14:sparkline>
            <x14:sparkline>
              <xm:f>'Income statement'!C14:H14</xm:f>
              <xm:sqref>I14</xm:sqref>
            </x14:sparkline>
            <x14:sparkline>
              <xm:f>'Income statement'!C15:H15</xm:f>
              <xm:sqref>I15</xm:sqref>
            </x14:sparkline>
            <x14:sparkline>
              <xm:f>'Income statement'!C16:H16</xm:f>
              <xm:sqref>I16</xm:sqref>
            </x14:sparkline>
            <x14:sparkline>
              <xm:f>'Income statement'!C17:H17</xm:f>
              <xm:sqref>I17</xm:sqref>
            </x14:sparkline>
            <x14:sparkline>
              <xm:f>'Income statement'!C18:H18</xm:f>
              <xm:sqref>I18</xm:sqref>
            </x14:sparkline>
            <x14:sparkline>
              <xm:f>'Income statement'!C19:H19</xm:f>
              <xm:sqref>I19</xm:sqref>
            </x14:sparkline>
            <x14:sparkline>
              <xm:f>'Income statement'!C20:H20</xm:f>
              <xm:sqref>I20</xm:sqref>
            </x14:sparkline>
            <x14:sparkline>
              <xm:f>'Income statement'!C21:H21</xm:f>
              <xm:sqref>I21</xm:sqref>
            </x14:sparkline>
            <x14:sparkline>
              <xm:f>'Income statement'!C22:H22</xm:f>
              <xm:sqref>I22</xm:sqref>
            </x14:sparkline>
            <x14:sparkline>
              <xm:f>'Income statement'!C23:H23</xm:f>
              <xm:sqref>I23</xm:sqref>
            </x14:sparkline>
            <x14:sparkline>
              <xm:f>'Income statement'!C24:H24</xm:f>
              <xm:sqref>I24</xm:sqref>
            </x14:sparkline>
            <x14:sparkline>
              <xm:f>'Income statement'!C25:H25</xm:f>
              <xm:sqref>I25</xm:sqref>
            </x14:sparkline>
            <x14:sparkline>
              <xm:f>'Income statement'!C26:H26</xm:f>
              <xm:sqref>I26</xm:sqref>
            </x14:sparkline>
            <x14:sparkline>
              <xm:f>'Income statement'!C27:H27</xm:f>
              <xm:sqref>I27</xm:sqref>
            </x14:sparkline>
            <x14:sparkline>
              <xm:f>'Income statement'!C28:H28</xm:f>
              <xm:sqref>I28</xm:sqref>
            </x14:sparkline>
            <x14:sparkline>
              <xm:f>'Income statement'!C29:H29</xm:f>
              <xm:sqref>I29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53"/>
  <sheetViews>
    <sheetView topLeftCell="A41" zoomScale="70" workbookViewId="0">
      <pane xSplit="1" topLeftCell="B1" activePane="topRight" state="frozen"/>
      <selection pane="topRight" activeCell="B7" sqref="B7"/>
    </sheetView>
  </sheetViews>
  <sheetFormatPr defaultRowHeight="16.8"/>
  <cols>
    <col min="1" max="1" width="52.6640625" style="4" customWidth="1"/>
    <col min="2" max="2" width="8.88671875" style="4"/>
    <col min="3" max="3" width="15.6640625" style="4" customWidth="1"/>
    <col min="4" max="4" width="17.109375" style="4" customWidth="1"/>
    <col min="5" max="5" width="18.33203125" style="4" customWidth="1"/>
    <col min="6" max="6" width="17.77734375" style="4" customWidth="1"/>
    <col min="7" max="7" width="13.6640625" style="4" customWidth="1"/>
    <col min="8" max="8" width="19.109375" style="4" customWidth="1"/>
    <col min="9" max="9" width="16.88671875" style="4" customWidth="1"/>
    <col min="10" max="16384" width="8.88671875" style="4"/>
  </cols>
  <sheetData>
    <row r="1" spans="1:15" ht="17.399999999999999" thickBot="1"/>
    <row r="2" spans="1:15" ht="17.399999999999999" thickBot="1">
      <c r="A2" s="99" t="s">
        <v>247</v>
      </c>
    </row>
    <row r="3" spans="1:15" ht="17.399999999999999" thickBot="1"/>
    <row r="4" spans="1:15" ht="19.8" thickBot="1">
      <c r="C4" s="65">
        <v>2017</v>
      </c>
      <c r="D4" s="53">
        <v>2018</v>
      </c>
      <c r="E4" s="53">
        <v>2019</v>
      </c>
      <c r="F4" s="53">
        <v>2020</v>
      </c>
      <c r="G4" s="53">
        <v>2021</v>
      </c>
      <c r="H4" s="53">
        <v>2022</v>
      </c>
      <c r="I4" s="66"/>
    </row>
    <row r="5" spans="1:15">
      <c r="A5" s="59" t="s">
        <v>41</v>
      </c>
      <c r="C5" s="67"/>
      <c r="D5" s="57"/>
      <c r="E5" s="57"/>
      <c r="F5" s="57"/>
      <c r="G5" s="57"/>
      <c r="H5" s="68" t="s">
        <v>27</v>
      </c>
      <c r="I5" s="69"/>
    </row>
    <row r="6" spans="1:15">
      <c r="A6" s="60" t="s">
        <v>40</v>
      </c>
      <c r="C6" s="70">
        <v>1283</v>
      </c>
      <c r="D6" s="54">
        <v>6476</v>
      </c>
      <c r="E6" s="54">
        <v>8985</v>
      </c>
      <c r="F6" s="54">
        <v>7768</v>
      </c>
      <c r="G6" s="54">
        <v>9804</v>
      </c>
      <c r="H6" s="54">
        <v>9571</v>
      </c>
      <c r="I6" s="69"/>
    </row>
    <row r="7" spans="1:15">
      <c r="A7" s="60" t="s">
        <v>83</v>
      </c>
      <c r="C7" s="71">
        <v>-101</v>
      </c>
      <c r="D7" s="56">
        <v>251</v>
      </c>
      <c r="E7" s="54" t="s">
        <v>88</v>
      </c>
      <c r="F7" s="54" t="s">
        <v>88</v>
      </c>
      <c r="G7" s="54" t="s">
        <v>88</v>
      </c>
      <c r="H7" s="54" t="s">
        <v>88</v>
      </c>
      <c r="I7" s="69"/>
      <c r="O7" s="35"/>
    </row>
    <row r="8" spans="1:15">
      <c r="A8" s="60" t="s">
        <v>81</v>
      </c>
      <c r="C8" s="71">
        <v>1182</v>
      </c>
      <c r="D8" s="56">
        <v>6727</v>
      </c>
      <c r="E8" s="54" t="s">
        <v>88</v>
      </c>
      <c r="F8" s="54" t="s">
        <v>88</v>
      </c>
      <c r="G8" s="54" t="s">
        <v>88</v>
      </c>
      <c r="H8" s="54" t="s">
        <v>88</v>
      </c>
      <c r="I8" s="69"/>
    </row>
    <row r="9" spans="1:15">
      <c r="A9" s="60" t="s">
        <v>42</v>
      </c>
      <c r="C9" s="71">
        <v>1260</v>
      </c>
      <c r="D9" s="56">
        <v>1086</v>
      </c>
      <c r="E9" s="56">
        <v>1365</v>
      </c>
      <c r="F9" s="56">
        <v>1536</v>
      </c>
      <c r="G9" s="56">
        <v>1452</v>
      </c>
      <c r="H9" s="56">
        <v>1260</v>
      </c>
      <c r="I9" s="69"/>
      <c r="O9" s="35"/>
    </row>
    <row r="10" spans="1:15">
      <c r="A10" s="60" t="s">
        <v>43</v>
      </c>
      <c r="C10" s="71">
        <v>219</v>
      </c>
      <c r="D10" s="56">
        <v>225</v>
      </c>
      <c r="E10" s="56">
        <v>201</v>
      </c>
      <c r="F10" s="56">
        <v>126</v>
      </c>
      <c r="G10" s="56">
        <v>337</v>
      </c>
      <c r="H10" s="56">
        <v>356</v>
      </c>
      <c r="I10" s="69"/>
      <c r="O10" s="35"/>
    </row>
    <row r="11" spans="1:15">
      <c r="A11" s="60" t="s">
        <v>44</v>
      </c>
      <c r="C11" s="71">
        <v>-1256</v>
      </c>
      <c r="D11" s="56">
        <v>-450</v>
      </c>
      <c r="E11" s="56">
        <v>-280</v>
      </c>
      <c r="F11" s="56">
        <v>-18</v>
      </c>
      <c r="G11" s="56">
        <v>894</v>
      </c>
      <c r="H11" s="56">
        <v>-122</v>
      </c>
      <c r="I11" s="69"/>
    </row>
    <row r="12" spans="1:15">
      <c r="A12" s="60" t="s">
        <v>45</v>
      </c>
      <c r="C12" s="71">
        <v>-628</v>
      </c>
      <c r="D12" s="56">
        <v>-457</v>
      </c>
      <c r="E12" s="56">
        <v>-421</v>
      </c>
      <c r="F12" s="56">
        <v>-511</v>
      </c>
      <c r="G12" s="56">
        <v>-615</v>
      </c>
      <c r="H12" s="56">
        <v>-838</v>
      </c>
      <c r="I12" s="69"/>
    </row>
    <row r="13" spans="1:15">
      <c r="A13" s="60" t="s">
        <v>46</v>
      </c>
      <c r="C13" s="71">
        <v>281</v>
      </c>
      <c r="D13" s="56">
        <v>-38</v>
      </c>
      <c r="E13" s="56">
        <v>91</v>
      </c>
      <c r="F13" s="56">
        <v>-88</v>
      </c>
      <c r="G13" s="56">
        <v>86</v>
      </c>
      <c r="H13" s="56">
        <v>203</v>
      </c>
      <c r="I13" s="69"/>
    </row>
    <row r="14" spans="1:15">
      <c r="A14" s="60" t="s">
        <v>47</v>
      </c>
      <c r="C14" s="71">
        <v>1459</v>
      </c>
      <c r="D14" s="56">
        <v>189</v>
      </c>
      <c r="E14" s="56">
        <v>-467</v>
      </c>
      <c r="F14" s="56">
        <v>-914</v>
      </c>
      <c r="G14" s="56">
        <v>-1365</v>
      </c>
      <c r="H14" s="56">
        <v>-129</v>
      </c>
      <c r="I14" s="69"/>
    </row>
    <row r="15" spans="1:15">
      <c r="A15" s="60" t="s">
        <v>32</v>
      </c>
      <c r="C15" s="71">
        <v>1218</v>
      </c>
      <c r="D15" s="56">
        <v>558</v>
      </c>
      <c r="E15" s="56">
        <v>127</v>
      </c>
      <c r="F15" s="56">
        <v>556</v>
      </c>
      <c r="G15" s="56">
        <v>506</v>
      </c>
      <c r="H15" s="56">
        <v>1086</v>
      </c>
      <c r="I15" s="69"/>
    </row>
    <row r="16" spans="1:15">
      <c r="A16" s="60" t="s">
        <v>48</v>
      </c>
      <c r="C16" s="71">
        <v>-269</v>
      </c>
      <c r="D16" s="56">
        <v>682</v>
      </c>
      <c r="E16" s="56">
        <v>504</v>
      </c>
      <c r="F16" s="56">
        <v>699</v>
      </c>
      <c r="G16" s="56">
        <v>201</v>
      </c>
      <c r="H16" s="56">
        <v>236</v>
      </c>
      <c r="I16" s="69"/>
    </row>
    <row r="17" spans="1:9">
      <c r="A17" s="60" t="s">
        <v>49</v>
      </c>
      <c r="C17" s="71">
        <v>3529</v>
      </c>
      <c r="D17" s="56">
        <v>-1202</v>
      </c>
      <c r="E17" s="56">
        <v>366</v>
      </c>
      <c r="F17" s="56">
        <v>690</v>
      </c>
      <c r="G17" s="56">
        <v>1325</v>
      </c>
      <c r="H17" s="56">
        <v>-605</v>
      </c>
      <c r="I17" s="69"/>
    </row>
    <row r="18" spans="1:9">
      <c r="A18" s="61" t="s">
        <v>50</v>
      </c>
      <c r="C18" s="71">
        <v>6995</v>
      </c>
      <c r="D18" s="56">
        <v>7320</v>
      </c>
      <c r="E18" s="56">
        <v>10471</v>
      </c>
      <c r="F18" s="56">
        <v>9844</v>
      </c>
      <c r="G18" s="56">
        <v>12625</v>
      </c>
      <c r="H18" s="56">
        <v>11018</v>
      </c>
      <c r="I18" s="69"/>
    </row>
    <row r="19" spans="1:9">
      <c r="A19" s="61"/>
      <c r="C19" s="71"/>
      <c r="D19" s="56"/>
      <c r="E19" s="56"/>
      <c r="F19" s="56"/>
      <c r="G19" s="56"/>
      <c r="H19" s="56"/>
      <c r="I19" s="69"/>
    </row>
    <row r="20" spans="1:9">
      <c r="A20" s="61" t="s">
        <v>51</v>
      </c>
      <c r="C20" s="67"/>
      <c r="D20" s="56"/>
      <c r="E20" s="57"/>
      <c r="F20" s="57"/>
      <c r="G20" s="57"/>
      <c r="H20" s="68" t="s">
        <v>27</v>
      </c>
      <c r="I20" s="69"/>
    </row>
    <row r="21" spans="1:9">
      <c r="A21" s="60" t="s">
        <v>52</v>
      </c>
      <c r="C21" s="71">
        <v>-16520</v>
      </c>
      <c r="D21" s="56">
        <v>-7789</v>
      </c>
      <c r="E21" s="56">
        <v>-4704</v>
      </c>
      <c r="F21" s="56">
        <v>-13583</v>
      </c>
      <c r="G21" s="56">
        <v>-6030</v>
      </c>
      <c r="H21" s="56">
        <v>-3751</v>
      </c>
      <c r="I21" s="69"/>
    </row>
    <row r="22" spans="1:9">
      <c r="A22" s="60" t="s">
        <v>53</v>
      </c>
      <c r="C22" s="71">
        <v>15911</v>
      </c>
      <c r="D22" s="56">
        <v>14977</v>
      </c>
      <c r="E22" s="56">
        <v>6973</v>
      </c>
      <c r="F22" s="56">
        <v>13835</v>
      </c>
      <c r="G22" s="56">
        <v>7059</v>
      </c>
      <c r="H22" s="56">
        <v>4771</v>
      </c>
      <c r="I22" s="69"/>
    </row>
    <row r="23" spans="1:9" ht="33.6">
      <c r="A23" s="60" t="s">
        <v>54</v>
      </c>
      <c r="C23" s="71">
        <v>-3900</v>
      </c>
      <c r="D23" s="56">
        <v>-1040</v>
      </c>
      <c r="E23" s="56">
        <v>-5542</v>
      </c>
      <c r="F23" s="56">
        <v>-1052</v>
      </c>
      <c r="G23" s="56">
        <v>-4766</v>
      </c>
      <c r="H23" s="56">
        <v>-73</v>
      </c>
      <c r="I23" s="69"/>
    </row>
    <row r="24" spans="1:9" ht="33.6">
      <c r="A24" s="60" t="s">
        <v>55</v>
      </c>
      <c r="C24" s="71">
        <v>3821</v>
      </c>
      <c r="D24" s="56">
        <v>1362</v>
      </c>
      <c r="E24" s="56">
        <v>429</v>
      </c>
      <c r="F24" s="56">
        <v>189</v>
      </c>
      <c r="G24" s="56">
        <v>2180</v>
      </c>
      <c r="H24" s="56">
        <v>458</v>
      </c>
      <c r="I24" s="69"/>
    </row>
    <row r="25" spans="1:9">
      <c r="A25" s="60" t="s">
        <v>56</v>
      </c>
      <c r="C25" s="71">
        <v>-1675</v>
      </c>
      <c r="D25" s="56">
        <v>-1347</v>
      </c>
      <c r="E25" s="56">
        <v>-2054</v>
      </c>
      <c r="F25" s="56">
        <v>-1177</v>
      </c>
      <c r="G25" s="56">
        <v>-1367</v>
      </c>
      <c r="H25" s="56">
        <v>-1484</v>
      </c>
      <c r="I25" s="69"/>
    </row>
    <row r="26" spans="1:9" ht="33.6">
      <c r="A26" s="60" t="s">
        <v>57</v>
      </c>
      <c r="C26" s="71">
        <v>104</v>
      </c>
      <c r="D26" s="56">
        <v>245</v>
      </c>
      <c r="E26" s="56">
        <v>978</v>
      </c>
      <c r="F26" s="56">
        <v>189</v>
      </c>
      <c r="G26" s="72">
        <v>108</v>
      </c>
      <c r="H26" s="56">
        <v>75</v>
      </c>
      <c r="I26" s="69"/>
    </row>
    <row r="27" spans="1:9" ht="33.6">
      <c r="A27" s="60" t="s">
        <v>58</v>
      </c>
      <c r="C27" s="73" t="s">
        <v>88</v>
      </c>
      <c r="D27" s="72" t="s">
        <v>88</v>
      </c>
      <c r="E27" s="72" t="s">
        <v>88</v>
      </c>
      <c r="F27" s="72" t="s">
        <v>88</v>
      </c>
      <c r="G27" s="56" t="s">
        <v>88</v>
      </c>
      <c r="H27" s="56">
        <v>-1465</v>
      </c>
      <c r="I27" s="69"/>
    </row>
    <row r="28" spans="1:9">
      <c r="A28" s="60" t="s">
        <v>59</v>
      </c>
      <c r="C28" s="71">
        <v>-126</v>
      </c>
      <c r="D28" s="56">
        <v>-60</v>
      </c>
      <c r="E28" s="56">
        <v>-56</v>
      </c>
      <c r="F28" s="56">
        <v>122</v>
      </c>
      <c r="G28" s="56">
        <v>51</v>
      </c>
      <c r="H28" s="56">
        <v>706</v>
      </c>
      <c r="I28" s="69"/>
    </row>
    <row r="29" spans="1:9">
      <c r="A29" s="61" t="s">
        <v>60</v>
      </c>
      <c r="C29" s="71">
        <v>-2385</v>
      </c>
      <c r="D29" s="56">
        <v>6348</v>
      </c>
      <c r="E29" s="56">
        <v>-3976</v>
      </c>
      <c r="F29" s="56">
        <v>-1477</v>
      </c>
      <c r="G29" s="56">
        <v>-2765</v>
      </c>
      <c r="H29" s="56">
        <v>-763</v>
      </c>
      <c r="I29" s="69"/>
    </row>
    <row r="30" spans="1:9">
      <c r="A30" s="61"/>
      <c r="C30" s="71"/>
      <c r="D30" s="56"/>
      <c r="E30" s="56"/>
      <c r="F30" s="56"/>
      <c r="G30" s="56"/>
      <c r="H30" s="56"/>
      <c r="I30" s="69"/>
    </row>
    <row r="31" spans="1:9">
      <c r="A31" s="61" t="s">
        <v>61</v>
      </c>
      <c r="C31" s="67"/>
      <c r="D31" s="57"/>
      <c r="E31" s="57"/>
      <c r="F31" s="56"/>
      <c r="G31" s="56"/>
      <c r="H31" s="68" t="s">
        <v>27</v>
      </c>
      <c r="I31" s="69"/>
    </row>
    <row r="32" spans="1:9">
      <c r="A32" s="60" t="s">
        <v>62</v>
      </c>
      <c r="C32" s="71">
        <v>29857</v>
      </c>
      <c r="D32" s="56">
        <v>27339</v>
      </c>
      <c r="E32" s="56">
        <v>23009</v>
      </c>
      <c r="F32" s="56">
        <v>26934</v>
      </c>
      <c r="G32" s="56">
        <v>13094</v>
      </c>
      <c r="H32" s="56">
        <v>3972</v>
      </c>
      <c r="I32" s="69"/>
    </row>
    <row r="33" spans="1:9">
      <c r="A33" s="60" t="s">
        <v>63</v>
      </c>
      <c r="C33" s="71">
        <v>-28768</v>
      </c>
      <c r="D33" s="56">
        <v>-30568</v>
      </c>
      <c r="E33" s="56">
        <v>-24850</v>
      </c>
      <c r="F33" s="56">
        <v>-28796</v>
      </c>
      <c r="G33" s="56">
        <v>-12866</v>
      </c>
      <c r="H33" s="56">
        <v>-4930</v>
      </c>
      <c r="I33" s="69"/>
    </row>
    <row r="34" spans="1:9">
      <c r="A34" s="60" t="s">
        <v>64</v>
      </c>
      <c r="C34" s="71">
        <v>1595</v>
      </c>
      <c r="D34" s="56">
        <v>1476</v>
      </c>
      <c r="E34" s="56">
        <v>1012</v>
      </c>
      <c r="F34" s="56">
        <v>647</v>
      </c>
      <c r="G34" s="56">
        <v>702</v>
      </c>
      <c r="H34" s="56">
        <v>837</v>
      </c>
      <c r="I34" s="69"/>
    </row>
    <row r="35" spans="1:9">
      <c r="A35" s="60" t="s">
        <v>65</v>
      </c>
      <c r="C35" s="71">
        <v>-3682</v>
      </c>
      <c r="D35" s="56">
        <v>-1912</v>
      </c>
      <c r="E35" s="56">
        <v>-1103</v>
      </c>
      <c r="F35" s="56">
        <v>-118</v>
      </c>
      <c r="G35" s="56">
        <v>-111</v>
      </c>
      <c r="H35" s="56">
        <v>-1418</v>
      </c>
      <c r="I35" s="69"/>
    </row>
    <row r="36" spans="1:9">
      <c r="A36" s="60" t="s">
        <v>66</v>
      </c>
      <c r="C36" s="71">
        <v>-6320</v>
      </c>
      <c r="D36" s="56">
        <v>-6644</v>
      </c>
      <c r="E36" s="56">
        <v>-6845</v>
      </c>
      <c r="F36" s="56">
        <v>-7047</v>
      </c>
      <c r="G36" s="56">
        <v>-7252</v>
      </c>
      <c r="H36" s="56">
        <v>-7616</v>
      </c>
      <c r="I36" s="69"/>
    </row>
    <row r="37" spans="1:9">
      <c r="A37" s="60" t="s">
        <v>67</v>
      </c>
      <c r="C37" s="71">
        <v>-91</v>
      </c>
      <c r="D37" s="56">
        <v>-243</v>
      </c>
      <c r="E37" s="56">
        <v>-227</v>
      </c>
      <c r="F37" s="56">
        <v>310</v>
      </c>
      <c r="G37" s="56">
        <v>-353</v>
      </c>
      <c r="H37" s="56">
        <v>-1095</v>
      </c>
      <c r="I37" s="69"/>
    </row>
    <row r="38" spans="1:9">
      <c r="A38" s="61" t="s">
        <v>68</v>
      </c>
      <c r="C38" s="71">
        <v>-7409</v>
      </c>
      <c r="D38" s="56">
        <v>-10552</v>
      </c>
      <c r="E38" s="56">
        <v>-9004</v>
      </c>
      <c r="F38" s="56">
        <v>-8070</v>
      </c>
      <c r="G38" s="56">
        <v>-6786</v>
      </c>
      <c r="H38" s="56">
        <v>-10250</v>
      </c>
      <c r="I38" s="69"/>
    </row>
    <row r="39" spans="1:9">
      <c r="A39" s="60"/>
      <c r="C39" s="71"/>
      <c r="D39" s="56"/>
      <c r="E39" s="56"/>
      <c r="F39" s="56"/>
      <c r="G39" s="56"/>
      <c r="H39" s="56"/>
      <c r="I39" s="69"/>
    </row>
    <row r="40" spans="1:9">
      <c r="A40" s="61" t="s">
        <v>69</v>
      </c>
      <c r="C40" s="71"/>
      <c r="D40" s="57"/>
      <c r="E40" s="57"/>
      <c r="F40" s="57"/>
      <c r="G40" s="56"/>
      <c r="H40" s="68" t="s">
        <v>27</v>
      </c>
      <c r="I40" s="69"/>
    </row>
    <row r="41" spans="1:9" ht="50.4">
      <c r="A41" s="60" t="s">
        <v>70</v>
      </c>
      <c r="C41" s="71">
        <v>242</v>
      </c>
      <c r="D41" s="56">
        <v>-262</v>
      </c>
      <c r="E41" s="56">
        <v>-72</v>
      </c>
      <c r="F41" s="56">
        <v>76</v>
      </c>
      <c r="G41" s="56">
        <v>-159</v>
      </c>
      <c r="H41" s="56">
        <v>-205</v>
      </c>
      <c r="I41" s="69"/>
    </row>
    <row r="42" spans="1:9" ht="50.4">
      <c r="A42" s="60" t="s">
        <v>71</v>
      </c>
      <c r="C42" s="71">
        <v>-2477</v>
      </c>
      <c r="D42" s="56">
        <v>2945</v>
      </c>
      <c r="E42" s="56">
        <v>-2581</v>
      </c>
      <c r="F42" s="56">
        <v>373</v>
      </c>
      <c r="G42" s="56">
        <v>2915</v>
      </c>
      <c r="H42" s="56">
        <v>-200</v>
      </c>
      <c r="I42" s="69"/>
    </row>
    <row r="43" spans="1:9" ht="33.6">
      <c r="A43" s="60" t="s">
        <v>72</v>
      </c>
      <c r="C43" s="71">
        <v>8850</v>
      </c>
      <c r="D43" s="56">
        <v>6373</v>
      </c>
      <c r="E43" s="56">
        <v>9318</v>
      </c>
      <c r="F43" s="56">
        <v>6737</v>
      </c>
      <c r="G43" s="56">
        <v>7110</v>
      </c>
      <c r="H43" s="56">
        <v>10025</v>
      </c>
      <c r="I43" s="69"/>
    </row>
    <row r="44" spans="1:9" ht="33.6">
      <c r="A44" s="60" t="s">
        <v>73</v>
      </c>
      <c r="C44" s="71">
        <v>6373</v>
      </c>
      <c r="D44" s="56">
        <v>9318</v>
      </c>
      <c r="E44" s="56">
        <v>6737</v>
      </c>
      <c r="F44" s="56">
        <v>7110</v>
      </c>
      <c r="G44" s="56">
        <v>10025</v>
      </c>
      <c r="H44" s="56">
        <v>9825</v>
      </c>
      <c r="I44" s="69"/>
    </row>
    <row r="45" spans="1:9">
      <c r="A45" s="60" t="s">
        <v>74</v>
      </c>
      <c r="C45" s="71">
        <v>367</v>
      </c>
      <c r="D45" s="56">
        <v>392</v>
      </c>
      <c r="E45" s="56">
        <v>257</v>
      </c>
      <c r="F45" s="56">
        <v>315</v>
      </c>
      <c r="G45" s="56">
        <v>341</v>
      </c>
      <c r="H45" s="56">
        <v>306</v>
      </c>
      <c r="I45" s="69"/>
    </row>
    <row r="46" spans="1:9">
      <c r="A46" s="60" t="s">
        <v>1</v>
      </c>
      <c r="C46" s="70">
        <v>6006</v>
      </c>
      <c r="D46" s="54">
        <v>8926</v>
      </c>
      <c r="E46" s="54">
        <v>6480</v>
      </c>
      <c r="F46" s="54">
        <v>6795</v>
      </c>
      <c r="G46" s="54">
        <v>9684</v>
      </c>
      <c r="H46" s="54">
        <v>9519</v>
      </c>
      <c r="I46" s="69"/>
    </row>
    <row r="47" spans="1:9">
      <c r="A47" s="62"/>
      <c r="C47" s="55"/>
      <c r="D47" s="52"/>
      <c r="E47" s="52"/>
      <c r="F47" s="52"/>
      <c r="G47" s="52"/>
      <c r="H47" s="52"/>
      <c r="I47" s="69"/>
    </row>
    <row r="48" spans="1:9">
      <c r="A48" s="62" t="s">
        <v>91</v>
      </c>
      <c r="C48" s="71">
        <v>6742</v>
      </c>
      <c r="D48" s="56">
        <v>8350</v>
      </c>
      <c r="E48" s="56">
        <v>10786</v>
      </c>
      <c r="F48" s="56">
        <v>9749</v>
      </c>
      <c r="G48" s="56">
        <v>12425</v>
      </c>
      <c r="H48" s="56">
        <v>11686</v>
      </c>
      <c r="I48" s="69"/>
    </row>
    <row r="49" spans="1:9" ht="17.399999999999999" thickBot="1">
      <c r="A49" s="63" t="s">
        <v>39</v>
      </c>
      <c r="B49" s="7"/>
      <c r="C49" s="74">
        <v>5560</v>
      </c>
      <c r="D49" s="75">
        <v>1623</v>
      </c>
      <c r="E49" s="75">
        <v>1801</v>
      </c>
      <c r="F49" s="75">
        <v>1981</v>
      </c>
      <c r="G49" s="75">
        <v>2621</v>
      </c>
      <c r="H49" s="75">
        <v>2115</v>
      </c>
      <c r="I49" s="76"/>
    </row>
    <row r="50" spans="1:9">
      <c r="A50" s="77" t="s">
        <v>92</v>
      </c>
      <c r="C50" s="64">
        <f>C49/C48</f>
        <v>0.8246811035301097</v>
      </c>
      <c r="D50" s="64">
        <f t="shared" ref="D50:H50" si="0">D49/D48</f>
        <v>0.19437125748502995</v>
      </c>
      <c r="E50" s="64">
        <f t="shared" si="0"/>
        <v>0.16697570925273503</v>
      </c>
      <c r="F50" s="64">
        <f t="shared" si="0"/>
        <v>0.20320032823879372</v>
      </c>
      <c r="G50" s="64">
        <f t="shared" si="0"/>
        <v>0.21094567404426559</v>
      </c>
      <c r="H50" s="64">
        <f t="shared" si="0"/>
        <v>0.18098579496833819</v>
      </c>
    </row>
    <row r="51" spans="1:9">
      <c r="A51" s="78" t="s">
        <v>211</v>
      </c>
      <c r="H51" s="33">
        <f>AVERAGE(C50:H50)</f>
        <v>0.29685997791987873</v>
      </c>
    </row>
    <row r="53" spans="1:9">
      <c r="H53" s="32"/>
    </row>
  </sheetData>
  <conditionalFormatting sqref="C50:H50">
    <cfRule type="cellIs" dxfId="3" priority="1" operator="greaterThan">
      <formula>0.3</formula>
    </cfRule>
  </conditionalFormatting>
  <pageMargins left="0.7" right="0.7" top="0.75" bottom="0.75" header="0.3" footer="0.3"/>
  <pageSetup paperSize="9" orientation="portrait" horizontalDpi="360" verticalDpi="360"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2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'Cash flow statement'!C6:H6</xm:f>
              <xm:sqref>I6</xm:sqref>
            </x14:sparkline>
            <x14:sparkline>
              <xm:f>'Cash flow statement'!C7:H7</xm:f>
              <xm:sqref>I7</xm:sqref>
            </x14:sparkline>
            <x14:sparkline>
              <xm:f>'Cash flow statement'!C8:H8</xm:f>
              <xm:sqref>I8</xm:sqref>
            </x14:sparkline>
            <x14:sparkline>
              <xm:f>'Cash flow statement'!C9:H9</xm:f>
              <xm:sqref>I9</xm:sqref>
            </x14:sparkline>
            <x14:sparkline>
              <xm:f>'Cash flow statement'!C10:H10</xm:f>
              <xm:sqref>I10</xm:sqref>
            </x14:sparkline>
            <x14:sparkline>
              <xm:f>'Cash flow statement'!C11:H11</xm:f>
              <xm:sqref>I11</xm:sqref>
            </x14:sparkline>
            <x14:sparkline>
              <xm:f>'Cash flow statement'!C12:H12</xm:f>
              <xm:sqref>I12</xm:sqref>
            </x14:sparkline>
            <x14:sparkline>
              <xm:f>'Cash flow statement'!C13:H13</xm:f>
              <xm:sqref>I13</xm:sqref>
            </x14:sparkline>
            <x14:sparkline>
              <xm:f>'Cash flow statement'!C14:H14</xm:f>
              <xm:sqref>I14</xm:sqref>
            </x14:sparkline>
            <x14:sparkline>
              <xm:f>'Cash flow statement'!C15:H15</xm:f>
              <xm:sqref>I15</xm:sqref>
            </x14:sparkline>
            <x14:sparkline>
              <xm:f>'Cash flow statement'!C16:H16</xm:f>
              <xm:sqref>I16</xm:sqref>
            </x14:sparkline>
            <x14:sparkline>
              <xm:f>'Cash flow statement'!C17:H17</xm:f>
              <xm:sqref>I17</xm:sqref>
            </x14:sparkline>
            <x14:sparkline>
              <xm:f>'Cash flow statement'!C18:H18</xm:f>
              <xm:sqref>I18</xm:sqref>
            </x14:sparkline>
            <x14:sparkline>
              <xm:f>'Cash flow statement'!C19:H19</xm:f>
              <xm:sqref>I19</xm:sqref>
            </x14:sparkline>
            <x14:sparkline>
              <xm:f>'Cash flow statement'!C20:H20</xm:f>
              <xm:sqref>I20</xm:sqref>
            </x14:sparkline>
            <x14:sparkline>
              <xm:f>'Cash flow statement'!C21:H21</xm:f>
              <xm:sqref>I21</xm:sqref>
            </x14:sparkline>
            <x14:sparkline>
              <xm:f>'Cash flow statement'!C22:H22</xm:f>
              <xm:sqref>I22</xm:sqref>
            </x14:sparkline>
            <x14:sparkline>
              <xm:f>'Cash flow statement'!C23:H23</xm:f>
              <xm:sqref>I23</xm:sqref>
            </x14:sparkline>
            <x14:sparkline>
              <xm:f>'Cash flow statement'!C24:H24</xm:f>
              <xm:sqref>I24</xm:sqref>
            </x14:sparkline>
            <x14:sparkline>
              <xm:f>'Cash flow statement'!C25:H25</xm:f>
              <xm:sqref>I25</xm:sqref>
            </x14:sparkline>
            <x14:sparkline>
              <xm:f>'Cash flow statement'!C26:H26</xm:f>
              <xm:sqref>I26</xm:sqref>
            </x14:sparkline>
            <x14:sparkline>
              <xm:f>'Cash flow statement'!C27:H27</xm:f>
              <xm:sqref>I27</xm:sqref>
            </x14:sparkline>
            <x14:sparkline>
              <xm:f>'Cash flow statement'!C28:H28</xm:f>
              <xm:sqref>I28</xm:sqref>
            </x14:sparkline>
            <x14:sparkline>
              <xm:f>'Cash flow statement'!C29:H29</xm:f>
              <xm:sqref>I29</xm:sqref>
            </x14:sparkline>
            <x14:sparkline>
              <xm:f>'Cash flow statement'!C30:H30</xm:f>
              <xm:sqref>I30</xm:sqref>
            </x14:sparkline>
            <x14:sparkline>
              <xm:f>'Cash flow statement'!C31:H31</xm:f>
              <xm:sqref>I31</xm:sqref>
            </x14:sparkline>
            <x14:sparkline>
              <xm:f>'Cash flow statement'!C32:H32</xm:f>
              <xm:sqref>I32</xm:sqref>
            </x14:sparkline>
            <x14:sparkline>
              <xm:f>'Cash flow statement'!C33:H33</xm:f>
              <xm:sqref>I33</xm:sqref>
            </x14:sparkline>
            <x14:sparkline>
              <xm:f>'Cash flow statement'!C34:H34</xm:f>
              <xm:sqref>I34</xm:sqref>
            </x14:sparkline>
            <x14:sparkline>
              <xm:f>'Cash flow statement'!C35:H35</xm:f>
              <xm:sqref>I35</xm:sqref>
            </x14:sparkline>
            <x14:sparkline>
              <xm:f>'Cash flow statement'!C36:H36</xm:f>
              <xm:sqref>I36</xm:sqref>
            </x14:sparkline>
            <x14:sparkline>
              <xm:f>'Cash flow statement'!C37:H37</xm:f>
              <xm:sqref>I37</xm:sqref>
            </x14:sparkline>
            <x14:sparkline>
              <xm:f>'Cash flow statement'!C38:H38</xm:f>
              <xm:sqref>I38</xm:sqref>
            </x14:sparkline>
            <x14:sparkline>
              <xm:f>'Cash flow statement'!C39:H39</xm:f>
              <xm:sqref>I39</xm:sqref>
            </x14:sparkline>
            <x14:sparkline>
              <xm:f>'Cash flow statement'!C40:H40</xm:f>
              <xm:sqref>I40</xm:sqref>
            </x14:sparkline>
            <x14:sparkline>
              <xm:f>'Cash flow statement'!C41:H41</xm:f>
              <xm:sqref>I41</xm:sqref>
            </x14:sparkline>
            <x14:sparkline>
              <xm:f>'Cash flow statement'!C42:H42</xm:f>
              <xm:sqref>I42</xm:sqref>
            </x14:sparkline>
            <x14:sparkline>
              <xm:f>'Cash flow statement'!C43:H43</xm:f>
              <xm:sqref>I43</xm:sqref>
            </x14:sparkline>
            <x14:sparkline>
              <xm:f>'Cash flow statement'!C44:H44</xm:f>
              <xm:sqref>I44</xm:sqref>
            </x14:sparkline>
            <x14:sparkline>
              <xm:f>'Cash flow statement'!C45:H45</xm:f>
              <xm:sqref>I45</xm:sqref>
            </x14:sparkline>
            <x14:sparkline>
              <xm:f>'Cash flow statement'!C46:H46</xm:f>
              <xm:sqref>I46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5"/>
  <sheetViews>
    <sheetView zoomScale="72" zoomScaleNormal="55" workbookViewId="0">
      <selection activeCell="K10" sqref="K10"/>
    </sheetView>
  </sheetViews>
  <sheetFormatPr defaultRowHeight="14.4"/>
  <cols>
    <col min="1" max="1" width="34.33203125" customWidth="1"/>
    <col min="2" max="2" width="32" customWidth="1"/>
    <col min="3" max="3" width="20.33203125" customWidth="1"/>
    <col min="4" max="4" width="18.5546875" customWidth="1"/>
    <col min="5" max="5" width="16.33203125" customWidth="1"/>
    <col min="6" max="6" width="20.21875" customWidth="1"/>
    <col min="7" max="7" width="18" customWidth="1"/>
    <col min="8" max="8" width="20.33203125" customWidth="1"/>
    <col min="10" max="10" width="67" customWidth="1"/>
    <col min="11" max="11" width="20.5546875" customWidth="1"/>
    <col min="12" max="15" width="14.6640625" bestFit="1" customWidth="1"/>
  </cols>
  <sheetData>
    <row r="1" spans="1:11" ht="15" thickBot="1"/>
    <row r="2" spans="1:11" ht="15" thickBot="1">
      <c r="A2" s="99" t="s">
        <v>247</v>
      </c>
    </row>
    <row r="3" spans="1:11" ht="15" thickBot="1"/>
    <row r="4" spans="1:11" ht="50.4">
      <c r="B4" s="106"/>
      <c r="C4" s="107">
        <v>2017</v>
      </c>
      <c r="D4" s="107">
        <v>2018</v>
      </c>
      <c r="E4" s="107">
        <v>2019</v>
      </c>
      <c r="F4" s="107">
        <v>2020</v>
      </c>
      <c r="G4" s="107">
        <v>2021</v>
      </c>
      <c r="H4" s="108">
        <v>2022</v>
      </c>
      <c r="J4" s="100" t="s">
        <v>102</v>
      </c>
      <c r="K4" s="4"/>
    </row>
    <row r="5" spans="1:11" ht="16.8">
      <c r="B5" s="109" t="s">
        <v>214</v>
      </c>
      <c r="C5" s="110">
        <v>35410</v>
      </c>
      <c r="D5" s="110">
        <v>31856</v>
      </c>
      <c r="E5" s="110">
        <v>37266</v>
      </c>
      <c r="F5" s="110">
        <v>33014</v>
      </c>
      <c r="G5" s="110">
        <v>38655</v>
      </c>
      <c r="H5" s="111">
        <v>43004</v>
      </c>
      <c r="J5" s="11"/>
      <c r="K5" s="4"/>
    </row>
    <row r="6" spans="1:11" ht="16.8">
      <c r="B6" s="109" t="s">
        <v>215</v>
      </c>
      <c r="C6" s="112">
        <f>'Income statement'!C$6</f>
        <v>13256</v>
      </c>
      <c r="D6" s="112">
        <f>'Income statement'!D$6</f>
        <v>11770</v>
      </c>
      <c r="E6" s="112">
        <f>'Income statement'!E$6</f>
        <v>14619</v>
      </c>
      <c r="F6" s="112">
        <f>'Income statement'!F$6</f>
        <v>13433</v>
      </c>
      <c r="G6" s="112">
        <f>'Income statement'!G$6</f>
        <v>15357</v>
      </c>
      <c r="H6" s="113">
        <f>'Income statement'!H$6</f>
        <v>18000</v>
      </c>
      <c r="J6" s="11" t="s">
        <v>107</v>
      </c>
      <c r="K6" s="4"/>
    </row>
    <row r="7" spans="1:11" ht="33.6">
      <c r="B7" s="109" t="s">
        <v>216</v>
      </c>
      <c r="C7" s="112">
        <f>'Income statement'!C$8</f>
        <v>12496</v>
      </c>
      <c r="D7" s="112">
        <f>'Income statement'!D$8</f>
        <v>10307</v>
      </c>
      <c r="E7" s="112">
        <f>'Income statement'!E$8</f>
        <v>12103</v>
      </c>
      <c r="F7" s="112">
        <f>'Income statement'!F$8</f>
        <v>9731</v>
      </c>
      <c r="G7" s="112">
        <f>'Income statement'!G$8</f>
        <v>12144</v>
      </c>
      <c r="H7" s="113">
        <f>'Income statement'!H$8</f>
        <v>12880</v>
      </c>
      <c r="J7" s="101" t="s">
        <v>103</v>
      </c>
      <c r="K7" s="50">
        <f>AVERAGE(D10:H10)</f>
        <v>0.19</v>
      </c>
    </row>
    <row r="8" spans="1:11" ht="16.8">
      <c r="B8" s="109"/>
      <c r="C8" s="114"/>
      <c r="D8" s="114"/>
      <c r="E8" s="114"/>
      <c r="F8" s="114"/>
      <c r="G8" s="114"/>
      <c r="H8" s="115"/>
      <c r="J8" s="102" t="s">
        <v>104</v>
      </c>
      <c r="K8" s="50">
        <f>(C9*0.81)+C12-C13-C14</f>
        <v>8326.98</v>
      </c>
    </row>
    <row r="9" spans="1:11" ht="16.8">
      <c r="B9" s="116" t="s">
        <v>217</v>
      </c>
      <c r="C9" s="117">
        <f>C5-C6-C7-C8</f>
        <v>9658</v>
      </c>
      <c r="D9" s="117">
        <f t="shared" ref="D9:H9" si="0">D5-D6-D7-D8</f>
        <v>9779</v>
      </c>
      <c r="E9" s="117">
        <f t="shared" si="0"/>
        <v>10544</v>
      </c>
      <c r="F9" s="117">
        <f t="shared" si="0"/>
        <v>9850</v>
      </c>
      <c r="G9" s="117">
        <f t="shared" si="0"/>
        <v>11154</v>
      </c>
      <c r="H9" s="118">
        <f t="shared" si="0"/>
        <v>12124</v>
      </c>
      <c r="J9" s="102" t="s">
        <v>105</v>
      </c>
      <c r="K9" s="103">
        <f>(D16-K8)/K8</f>
        <v>0.98271041842300599</v>
      </c>
    </row>
    <row r="10" spans="1:11" ht="16.8">
      <c r="B10" s="109" t="s">
        <v>93</v>
      </c>
      <c r="C10" s="119">
        <f>82%</f>
        <v>0.82</v>
      </c>
      <c r="D10" s="119">
        <f>19%</f>
        <v>0.19</v>
      </c>
      <c r="E10" s="119">
        <f>17%</f>
        <v>0.17</v>
      </c>
      <c r="F10" s="119">
        <f>20%</f>
        <v>0.2</v>
      </c>
      <c r="G10" s="119">
        <f>21%</f>
        <v>0.21</v>
      </c>
      <c r="H10" s="120">
        <f>18%</f>
        <v>0.18</v>
      </c>
      <c r="J10" s="104" t="s">
        <v>106</v>
      </c>
      <c r="K10" s="103">
        <f>AVERAGE(K9,E18,F18,G18,H18)</f>
        <v>0.22458463382107877</v>
      </c>
    </row>
    <row r="11" spans="1:11" ht="16.8">
      <c r="B11" s="109"/>
      <c r="C11" s="112">
        <f>C9*(1-C10)</f>
        <v>1738.4400000000005</v>
      </c>
      <c r="D11" s="112">
        <f t="shared" ref="D11:H11" si="1">D9*(1-D10)</f>
        <v>7920.9900000000007</v>
      </c>
      <c r="E11" s="112">
        <f t="shared" si="1"/>
        <v>8751.52</v>
      </c>
      <c r="F11" s="112">
        <f t="shared" si="1"/>
        <v>7880</v>
      </c>
      <c r="G11" s="112">
        <f t="shared" si="1"/>
        <v>8811.66</v>
      </c>
      <c r="H11" s="113">
        <f t="shared" si="1"/>
        <v>9941.68</v>
      </c>
      <c r="J11" s="4"/>
      <c r="K11" s="4"/>
    </row>
    <row r="12" spans="1:11" ht="16.8">
      <c r="B12" s="109" t="s">
        <v>94</v>
      </c>
      <c r="C12" s="114">
        <v>1260</v>
      </c>
      <c r="D12" s="114">
        <v>1086</v>
      </c>
      <c r="E12" s="114">
        <v>1365</v>
      </c>
      <c r="F12" s="114">
        <v>1536</v>
      </c>
      <c r="G12" s="114">
        <v>1452</v>
      </c>
      <c r="H12" s="115">
        <v>1260</v>
      </c>
      <c r="J12" s="11" t="s">
        <v>108</v>
      </c>
      <c r="K12" s="4"/>
    </row>
    <row r="13" spans="1:11" ht="16.8">
      <c r="B13" s="109" t="s">
        <v>95</v>
      </c>
      <c r="C13" s="112">
        <f>'Balance sheet'!O7-'Balance sheet'!N7</f>
        <v>2535</v>
      </c>
      <c r="D13" s="112">
        <f>'Balance sheet'!P7-'Balance sheet'!O7</f>
        <v>-5911</v>
      </c>
      <c r="E13" s="112">
        <f>'Balance sheet'!Q7-'Balance sheet'!P7</f>
        <v>-10223</v>
      </c>
      <c r="F13" s="112">
        <f>'Balance sheet'!R7-'Balance sheet'!Q7</f>
        <v>-1171</v>
      </c>
      <c r="G13" s="112">
        <f>'Balance sheet'!S7-'Balance sheet'!R7</f>
        <v>3305</v>
      </c>
      <c r="H13" s="113">
        <f>'Balance sheet'!T7-'Balance sheet'!S7</f>
        <v>46</v>
      </c>
      <c r="J13" s="105" t="s">
        <v>109</v>
      </c>
      <c r="K13" s="103">
        <f>AVERAGE(E18:H18)</f>
        <v>3.5053187670596953E-2</v>
      </c>
    </row>
    <row r="14" spans="1:11" ht="16.8">
      <c r="B14" s="109" t="s">
        <v>99</v>
      </c>
      <c r="C14" s="112">
        <f>'Cash flow statement'!C25-'Cash flow statement'!C26</f>
        <v>-1779</v>
      </c>
      <c r="D14" s="112">
        <f>'Cash flow statement'!D25-'Cash flow statement'!D26</f>
        <v>-1592</v>
      </c>
      <c r="E14" s="112">
        <f>'Cash flow statement'!E25-'Cash flow statement'!E26</f>
        <v>-3032</v>
      </c>
      <c r="F14" s="112">
        <f>'Cash flow statement'!F25-'Cash flow statement'!F26</f>
        <v>-1366</v>
      </c>
      <c r="G14" s="112">
        <f>'Cash flow statement'!G25-'Cash flow statement'!G26</f>
        <v>-1475</v>
      </c>
      <c r="H14" s="113">
        <f>'Cash flow statement'!H25-'Cash flow statement'!H26</f>
        <v>-1559</v>
      </c>
      <c r="J14" s="4"/>
      <c r="K14" s="4"/>
    </row>
    <row r="15" spans="1:11">
      <c r="B15" s="109"/>
      <c r="C15" s="121"/>
      <c r="D15" s="121"/>
      <c r="E15" s="121"/>
      <c r="F15" s="121"/>
      <c r="G15" s="121"/>
      <c r="H15" s="122"/>
    </row>
    <row r="16" spans="1:11" ht="15" thickBot="1">
      <c r="B16" s="123" t="s">
        <v>100</v>
      </c>
      <c r="C16" s="124">
        <f>C11+C12-C13-C14</f>
        <v>2242.4400000000005</v>
      </c>
      <c r="D16" s="124">
        <f t="shared" ref="D16:H16" si="2">D11+D12-D13-D14</f>
        <v>16509.990000000002</v>
      </c>
      <c r="E16" s="124">
        <f t="shared" si="2"/>
        <v>23371.52</v>
      </c>
      <c r="F16" s="124">
        <f t="shared" si="2"/>
        <v>11953</v>
      </c>
      <c r="G16" s="124">
        <f t="shared" si="2"/>
        <v>8433.66</v>
      </c>
      <c r="H16" s="125">
        <f t="shared" si="2"/>
        <v>12714.68</v>
      </c>
    </row>
    <row r="17" spans="2:15">
      <c r="B17" s="126"/>
      <c r="C17" s="126"/>
      <c r="D17" s="126"/>
      <c r="E17" s="126"/>
      <c r="F17" s="126"/>
      <c r="G17" s="126"/>
      <c r="H17" s="126"/>
    </row>
    <row r="18" spans="2:15">
      <c r="B18" s="126"/>
      <c r="C18" s="126"/>
      <c r="D18" s="127">
        <f>(D16-C16)/C16</f>
        <v>6.3625113715417125</v>
      </c>
      <c r="E18" s="127">
        <f t="shared" ref="E18:H18" si="3">(E16-D16)/D16</f>
        <v>0.41559867692227542</v>
      </c>
      <c r="F18" s="127">
        <f t="shared" si="3"/>
        <v>-0.48856557040363657</v>
      </c>
      <c r="G18" s="127">
        <f t="shared" si="3"/>
        <v>-0.29443152346691209</v>
      </c>
      <c r="H18" s="127">
        <f t="shared" si="3"/>
        <v>0.50761116763066105</v>
      </c>
    </row>
    <row r="19" spans="2:15">
      <c r="B19" s="126"/>
      <c r="C19" s="126"/>
      <c r="D19" s="126"/>
      <c r="E19" s="126"/>
      <c r="F19" s="126"/>
      <c r="G19" s="126"/>
      <c r="H19" s="126"/>
      <c r="J19" s="25"/>
      <c r="K19" s="25"/>
    </row>
    <row r="20" spans="2:15">
      <c r="B20" s="126"/>
      <c r="C20" s="126"/>
      <c r="D20" s="126"/>
      <c r="E20" s="126"/>
      <c r="F20" s="126"/>
      <c r="G20" s="128" t="s">
        <v>101</v>
      </c>
      <c r="H20" s="129">
        <f>AVERAGE(D18:H18)</f>
        <v>1.3005448244448201</v>
      </c>
      <c r="K20" s="22"/>
    </row>
    <row r="21" spans="2:15">
      <c r="H21" s="25"/>
      <c r="K21" s="25"/>
    </row>
    <row r="22" spans="2:15">
      <c r="K22" s="25"/>
    </row>
    <row r="24" spans="2:15">
      <c r="H24" s="25"/>
      <c r="J24" s="25"/>
      <c r="K24" s="25"/>
    </row>
    <row r="25" spans="2:15">
      <c r="H25" s="25"/>
      <c r="K25" s="25"/>
    </row>
    <row r="26" spans="2:15" ht="16.8">
      <c r="B26" s="5"/>
      <c r="C26" s="5"/>
      <c r="D26" s="5"/>
      <c r="E26" s="5"/>
      <c r="F26" s="5"/>
      <c r="G26" s="5"/>
      <c r="H26" s="5"/>
      <c r="I26" s="25"/>
      <c r="J26" s="27"/>
    </row>
    <row r="27" spans="2:15">
      <c r="I27" s="22"/>
    </row>
    <row r="28" spans="2:15">
      <c r="B28" s="30"/>
      <c r="C28" s="30"/>
      <c r="I28" s="25"/>
      <c r="J28" s="25"/>
    </row>
    <row r="29" spans="2:15">
      <c r="C29" s="30"/>
      <c r="H29" s="25"/>
      <c r="I29" s="27"/>
      <c r="J29" s="25"/>
    </row>
    <row r="30" spans="2:15">
      <c r="K30" s="25"/>
      <c r="L30" s="25"/>
      <c r="M30" s="25"/>
      <c r="N30" s="25"/>
      <c r="O30" s="25"/>
    </row>
    <row r="31" spans="2:15">
      <c r="C31" s="25"/>
      <c r="D31" s="25"/>
      <c r="E31" s="25"/>
      <c r="F31" s="25"/>
      <c r="G31" s="25"/>
      <c r="H31" s="25"/>
      <c r="J31" s="25"/>
      <c r="K31" s="25"/>
    </row>
    <row r="32" spans="2:15">
      <c r="C32" s="31"/>
      <c r="J32" s="27"/>
      <c r="K32" s="22"/>
    </row>
    <row r="33" spans="3:12" ht="16.8">
      <c r="C33" s="18"/>
      <c r="D33" s="18"/>
      <c r="E33" s="18"/>
      <c r="F33" s="18"/>
      <c r="G33" s="18"/>
      <c r="H33" s="49"/>
      <c r="I33" s="27"/>
      <c r="J33" s="38"/>
      <c r="K33" s="25"/>
      <c r="L33" s="25"/>
    </row>
    <row r="34" spans="3:12">
      <c r="C34" s="30"/>
      <c r="D34" s="19"/>
      <c r="E34" s="19"/>
      <c r="F34" s="19"/>
      <c r="G34" s="19"/>
      <c r="H34" s="19"/>
      <c r="I34" s="25"/>
      <c r="J34" s="22"/>
    </row>
    <row r="35" spans="3:12">
      <c r="C35" s="34"/>
      <c r="I35" s="25"/>
      <c r="J35" s="25"/>
    </row>
    <row r="36" spans="3:12">
      <c r="H36" s="36"/>
      <c r="I36" s="27"/>
    </row>
    <row r="37" spans="3:12">
      <c r="H37" s="25"/>
    </row>
    <row r="38" spans="3:12">
      <c r="H38" s="36"/>
      <c r="J38" s="22"/>
    </row>
    <row r="39" spans="3:12">
      <c r="H39" s="37"/>
      <c r="J39" s="25"/>
    </row>
    <row r="40" spans="3:12">
      <c r="C40" s="30"/>
      <c r="J40" s="25"/>
    </row>
    <row r="41" spans="3:12">
      <c r="J41" s="25"/>
      <c r="K41" s="22"/>
    </row>
    <row r="42" spans="3:12">
      <c r="C42" s="31"/>
      <c r="J42" s="25"/>
    </row>
    <row r="43" spans="3:12">
      <c r="C43" s="34"/>
      <c r="J43" s="25"/>
    </row>
    <row r="44" spans="3:12">
      <c r="C44" s="30"/>
    </row>
    <row r="45" spans="3:12">
      <c r="C45" s="34"/>
    </row>
  </sheetData>
  <conditionalFormatting sqref="D18:H18">
    <cfRule type="cellIs" dxfId="2" priority="1" operator="lessThan">
      <formula>0</formula>
    </cfRule>
    <cfRule type="cellIs" dxfId="1" priority="2" operator="greater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66"/>
  <sheetViews>
    <sheetView zoomScale="77" workbookViewId="0">
      <selection activeCell="N22" sqref="N22"/>
    </sheetView>
  </sheetViews>
  <sheetFormatPr defaultRowHeight="14.4"/>
  <cols>
    <col min="1" max="1" width="11.33203125" bestFit="1" customWidth="1"/>
    <col min="2" max="4" width="9" bestFit="1" customWidth="1"/>
    <col min="5" max="5" width="9.33203125" customWidth="1"/>
    <col min="6" max="8" width="9" bestFit="1" customWidth="1"/>
    <col min="9" max="10" width="7.44140625" bestFit="1" customWidth="1"/>
    <col min="12" max="12" width="11.77734375" bestFit="1" customWidth="1"/>
    <col min="13" max="13" width="9" bestFit="1" customWidth="1"/>
    <col min="14" max="14" width="39.77734375" customWidth="1"/>
  </cols>
  <sheetData>
    <row r="1" spans="1:14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4">
      <c r="A2" s="126" t="s">
        <v>110</v>
      </c>
      <c r="B2" s="126" t="s">
        <v>151</v>
      </c>
      <c r="C2" s="126" t="s">
        <v>149</v>
      </c>
      <c r="D2" s="126" t="s">
        <v>150</v>
      </c>
      <c r="E2" s="126" t="s">
        <v>157</v>
      </c>
      <c r="F2" s="126" t="s">
        <v>156</v>
      </c>
      <c r="G2" s="126" t="s">
        <v>155</v>
      </c>
      <c r="H2" s="126" t="s">
        <v>154</v>
      </c>
      <c r="I2" s="126" t="s">
        <v>153</v>
      </c>
      <c r="J2" s="126" t="s">
        <v>152</v>
      </c>
      <c r="K2" s="126"/>
      <c r="L2" s="126"/>
      <c r="M2" s="126"/>
    </row>
    <row r="3" spans="1:14">
      <c r="A3" s="126" t="s">
        <v>111</v>
      </c>
      <c r="B3" s="126">
        <v>3.93</v>
      </c>
      <c r="C3" s="126">
        <v>4.6639999999999997</v>
      </c>
      <c r="D3" s="126">
        <v>4.6280000000000001</v>
      </c>
      <c r="E3" s="126">
        <v>4.0960000000000001</v>
      </c>
      <c r="F3" s="126">
        <v>3.7879999999999998</v>
      </c>
      <c r="G3" s="126">
        <v>3.556</v>
      </c>
      <c r="H3" s="126">
        <v>3.5430000000000001</v>
      </c>
      <c r="I3" s="126">
        <v>3.4660000000000002</v>
      </c>
      <c r="J3" s="126">
        <v>3.7759999999999998</v>
      </c>
      <c r="K3" s="126"/>
      <c r="L3" s="130" t="s">
        <v>159</v>
      </c>
      <c r="M3" s="130">
        <f>G65</f>
        <v>3.8574193548387083</v>
      </c>
    </row>
    <row r="4" spans="1:14">
      <c r="A4" s="126" t="s">
        <v>112</v>
      </c>
      <c r="B4" s="126">
        <v>4.2869999999999999</v>
      </c>
      <c r="C4" s="126">
        <v>4.8230000000000004</v>
      </c>
      <c r="D4" s="126">
        <v>4.9169999999999998</v>
      </c>
      <c r="E4" s="126">
        <v>4.5220000000000002</v>
      </c>
      <c r="F4" s="126">
        <v>4.0910000000000002</v>
      </c>
      <c r="G4" s="126">
        <v>3.8479999999999999</v>
      </c>
      <c r="H4" s="126">
        <v>3.8029999999999999</v>
      </c>
      <c r="I4" s="126">
        <v>3.69</v>
      </c>
      <c r="J4" s="126">
        <v>3.9489999999999998</v>
      </c>
      <c r="K4" s="126"/>
      <c r="L4" s="126"/>
      <c r="M4" s="131">
        <v>3.857E-2</v>
      </c>
    </row>
    <row r="5" spans="1:14">
      <c r="A5" s="126" t="s">
        <v>113</v>
      </c>
      <c r="B5" s="126">
        <v>4.4889999999999999</v>
      </c>
      <c r="C5" s="126">
        <v>4.7930000000000001</v>
      </c>
      <c r="D5" s="126">
        <v>4.6660000000000004</v>
      </c>
      <c r="E5" s="126">
        <v>4.2720000000000002</v>
      </c>
      <c r="F5" s="126">
        <v>3.871</v>
      </c>
      <c r="G5" s="126">
        <v>3.7029999999999998</v>
      </c>
      <c r="H5" s="126">
        <v>3.6829999999999998</v>
      </c>
      <c r="I5" s="126">
        <v>3.577</v>
      </c>
      <c r="J5" s="126">
        <v>3.8679999999999999</v>
      </c>
      <c r="K5" s="126"/>
      <c r="L5" s="126"/>
      <c r="M5" s="126"/>
    </row>
    <row r="6" spans="1:14">
      <c r="A6" s="132">
        <v>45202</v>
      </c>
      <c r="B6" s="126">
        <v>4.6280000000000001</v>
      </c>
      <c r="C6" s="126">
        <v>4.9130000000000003</v>
      </c>
      <c r="D6" s="126">
        <v>5.0860000000000003</v>
      </c>
      <c r="E6" s="126">
        <v>4.907</v>
      </c>
      <c r="F6" s="126">
        <v>4.3140000000000001</v>
      </c>
      <c r="G6" s="126">
        <v>3.9660000000000002</v>
      </c>
      <c r="H6" s="126">
        <v>3.867</v>
      </c>
      <c r="I6" s="126">
        <v>3.7050000000000001</v>
      </c>
      <c r="J6" s="126">
        <v>3.9089999999999998</v>
      </c>
      <c r="K6" s="126"/>
      <c r="L6" s="126"/>
      <c r="M6" s="133"/>
    </row>
    <row r="7" spans="1:14">
      <c r="A7" s="132">
        <v>45172</v>
      </c>
      <c r="B7" s="126">
        <v>4.673</v>
      </c>
      <c r="C7" s="126">
        <v>4.9859999999999998</v>
      </c>
      <c r="D7" s="126">
        <v>5.2350000000000003</v>
      </c>
      <c r="E7" s="126">
        <v>5.2069999999999999</v>
      </c>
      <c r="F7" s="126">
        <v>4.5469999999999997</v>
      </c>
      <c r="G7" s="126">
        <v>4.2</v>
      </c>
      <c r="H7" s="126">
        <v>4.0750000000000002</v>
      </c>
      <c r="I7" s="126">
        <v>3.911</v>
      </c>
      <c r="J7" s="126">
        <v>4.0709999999999997</v>
      </c>
      <c r="K7" s="126"/>
      <c r="L7" s="126"/>
      <c r="M7" s="126"/>
      <c r="N7" s="199" t="s">
        <v>259</v>
      </c>
    </row>
    <row r="8" spans="1:14">
      <c r="A8" s="132">
        <v>45141</v>
      </c>
      <c r="B8" s="126">
        <v>4.6589999999999998</v>
      </c>
      <c r="C8" s="126">
        <v>5.01</v>
      </c>
      <c r="D8" s="126">
        <v>5.2839999999999998</v>
      </c>
      <c r="E8" s="126">
        <v>5.3120000000000003</v>
      </c>
      <c r="F8" s="126">
        <v>4.7430000000000003</v>
      </c>
      <c r="G8" s="126">
        <v>4.3559999999999999</v>
      </c>
      <c r="H8" s="126">
        <v>4.202</v>
      </c>
      <c r="I8" s="126">
        <v>3.992</v>
      </c>
      <c r="J8" s="126">
        <v>4.1269999999999998</v>
      </c>
      <c r="K8" s="126"/>
      <c r="L8" s="126"/>
      <c r="M8" s="126"/>
    </row>
    <row r="9" spans="1:14">
      <c r="A9" s="132">
        <v>45110</v>
      </c>
      <c r="B9" s="126">
        <v>4.6950000000000003</v>
      </c>
      <c r="C9" s="126">
        <v>4.9429999999999996</v>
      </c>
      <c r="D9" s="126">
        <v>5.2119999999999997</v>
      </c>
      <c r="E9" s="126">
        <v>5.282</v>
      </c>
      <c r="F9" s="126">
        <v>4.7270000000000003</v>
      </c>
      <c r="G9" s="126">
        <v>4.3129999999999997</v>
      </c>
      <c r="H9" s="126">
        <v>4.173</v>
      </c>
      <c r="I9" s="126">
        <v>3.97</v>
      </c>
      <c r="J9" s="126">
        <v>4.1109999999999998</v>
      </c>
      <c r="K9" s="126"/>
      <c r="L9" s="126"/>
      <c r="M9" s="126"/>
    </row>
    <row r="10" spans="1:14">
      <c r="A10" s="132">
        <v>45080</v>
      </c>
      <c r="B10" s="126">
        <v>4.665</v>
      </c>
      <c r="C10" s="126">
        <v>4.8559999999999999</v>
      </c>
      <c r="D10" s="126">
        <v>5.1369999999999996</v>
      </c>
      <c r="E10" s="126">
        <v>5.109</v>
      </c>
      <c r="F10" s="126">
        <v>4.6269999999999998</v>
      </c>
      <c r="G10" s="126">
        <v>4.2530000000000001</v>
      </c>
      <c r="H10" s="126">
        <v>4.1459999999999999</v>
      </c>
      <c r="I10" s="126">
        <v>3.9649999999999999</v>
      </c>
      <c r="J10" s="126">
        <v>4.1280000000000001</v>
      </c>
      <c r="K10" s="126"/>
      <c r="L10" s="126"/>
      <c r="M10" s="126"/>
    </row>
    <row r="11" spans="1:14">
      <c r="A11" s="132">
        <v>44988</v>
      </c>
      <c r="B11" s="126">
        <v>4.6399999999999997</v>
      </c>
      <c r="C11" s="126">
        <v>4.851</v>
      </c>
      <c r="D11" s="126">
        <v>5.1289999999999996</v>
      </c>
      <c r="E11" s="126">
        <v>5.093</v>
      </c>
      <c r="F11" s="126">
        <v>4.609</v>
      </c>
      <c r="G11" s="126">
        <v>4.26</v>
      </c>
      <c r="H11" s="126">
        <v>4.1390000000000002</v>
      </c>
      <c r="I11" s="126">
        <v>3.96</v>
      </c>
      <c r="J11" s="126">
        <v>4.109</v>
      </c>
      <c r="K11" s="126"/>
      <c r="L11" s="126"/>
      <c r="M11" s="126"/>
    </row>
    <row r="12" spans="1:14">
      <c r="A12" s="132">
        <v>44960</v>
      </c>
      <c r="B12" s="126">
        <v>4.5869999999999997</v>
      </c>
      <c r="C12" s="126">
        <v>4.8529999999999998</v>
      </c>
      <c r="D12" s="126">
        <v>5.1369999999999996</v>
      </c>
      <c r="E12" s="126">
        <v>5.0869999999999997</v>
      </c>
      <c r="F12" s="126">
        <v>4.625</v>
      </c>
      <c r="G12" s="126">
        <v>4.3179999999999996</v>
      </c>
      <c r="H12" s="126">
        <v>4.2309999999999999</v>
      </c>
      <c r="I12" s="126">
        <v>4.0620000000000003</v>
      </c>
      <c r="J12" s="126">
        <v>4.226</v>
      </c>
      <c r="K12" s="126"/>
      <c r="L12" s="126"/>
      <c r="M12" s="126"/>
    </row>
    <row r="13" spans="1:14">
      <c r="A13" s="132">
        <v>44929</v>
      </c>
      <c r="B13" s="126">
        <v>4.5949999999999998</v>
      </c>
      <c r="C13" s="126">
        <v>4.859</v>
      </c>
      <c r="D13" s="126">
        <v>5.1479999999999997</v>
      </c>
      <c r="E13" s="126">
        <v>5.0990000000000002</v>
      </c>
      <c r="F13" s="126">
        <v>4.6189999999999998</v>
      </c>
      <c r="G13" s="126">
        <v>4.266</v>
      </c>
      <c r="H13" s="126">
        <v>4.1740000000000004</v>
      </c>
      <c r="I13" s="126">
        <v>3.9940000000000002</v>
      </c>
      <c r="J13" s="126">
        <v>4.1689999999999996</v>
      </c>
      <c r="K13" s="126"/>
      <c r="L13" s="126"/>
      <c r="M13" s="126"/>
    </row>
    <row r="14" spans="1:14">
      <c r="A14" s="126" t="s">
        <v>114</v>
      </c>
      <c r="B14" s="126">
        <v>4.5960000000000001</v>
      </c>
      <c r="C14" s="126">
        <v>4.8079999999999998</v>
      </c>
      <c r="D14" s="126">
        <v>5.1440000000000001</v>
      </c>
      <c r="E14" s="126">
        <v>5.0830000000000002</v>
      </c>
      <c r="F14" s="126">
        <v>4.5289999999999999</v>
      </c>
      <c r="G14" s="126">
        <v>4.1890000000000001</v>
      </c>
      <c r="H14" s="126">
        <v>4.0830000000000002</v>
      </c>
      <c r="I14" s="126">
        <v>3.9239999999999999</v>
      </c>
      <c r="J14" s="126">
        <v>4.1130000000000004</v>
      </c>
      <c r="K14" s="126"/>
      <c r="L14" s="126"/>
      <c r="M14" s="126"/>
    </row>
    <row r="15" spans="1:14">
      <c r="A15" s="126" t="s">
        <v>115</v>
      </c>
      <c r="B15" s="126">
        <v>4.5810000000000004</v>
      </c>
      <c r="C15" s="126">
        <v>4.8029999999999999</v>
      </c>
      <c r="D15" s="126">
        <v>5.0910000000000002</v>
      </c>
      <c r="E15" s="126">
        <v>5.0830000000000002</v>
      </c>
      <c r="F15" s="126">
        <v>4.5</v>
      </c>
      <c r="G15" s="126">
        <v>4.173</v>
      </c>
      <c r="H15" s="126">
        <v>4.0739999999999998</v>
      </c>
      <c r="I15" s="126">
        <v>3.9180000000000001</v>
      </c>
      <c r="J15" s="126">
        <v>4.1120000000000001</v>
      </c>
      <c r="K15" s="126"/>
      <c r="L15" s="126"/>
      <c r="M15" s="126"/>
    </row>
    <row r="16" spans="1:14">
      <c r="A16" s="126" t="s">
        <v>116</v>
      </c>
      <c r="B16" s="126">
        <v>4.5739999999999998</v>
      </c>
      <c r="C16" s="126">
        <v>4.8170000000000002</v>
      </c>
      <c r="D16" s="126">
        <v>5.1070000000000002</v>
      </c>
      <c r="E16" s="126">
        <v>5.1040000000000001</v>
      </c>
      <c r="F16" s="126">
        <v>4.5309999999999997</v>
      </c>
      <c r="G16" s="126">
        <v>4.2130000000000001</v>
      </c>
      <c r="H16" s="126">
        <v>4.1189999999999998</v>
      </c>
      <c r="I16" s="126">
        <v>3.9529999999999998</v>
      </c>
      <c r="J16" s="126">
        <v>4.1180000000000003</v>
      </c>
      <c r="K16" s="126"/>
      <c r="L16" s="126"/>
      <c r="M16" s="126"/>
    </row>
    <row r="17" spans="1:13">
      <c r="A17" s="126" t="s">
        <v>117</v>
      </c>
      <c r="B17" s="126">
        <v>4.5330000000000004</v>
      </c>
      <c r="C17" s="126">
        <v>4.8140000000000001</v>
      </c>
      <c r="D17" s="126">
        <v>5.0750000000000002</v>
      </c>
      <c r="E17" s="126">
        <v>5.0919999999999996</v>
      </c>
      <c r="F17" s="126">
        <v>4.4210000000000003</v>
      </c>
      <c r="G17" s="126">
        <v>4.1150000000000002</v>
      </c>
      <c r="H17" s="126">
        <v>4.0339999999999998</v>
      </c>
      <c r="I17" s="126">
        <v>3.883</v>
      </c>
      <c r="J17" s="126">
        <v>4.05</v>
      </c>
      <c r="K17" s="126"/>
      <c r="L17" s="126"/>
      <c r="M17" s="126"/>
    </row>
    <row r="18" spans="1:13">
      <c r="A18" s="126" t="s">
        <v>118</v>
      </c>
      <c r="B18" s="126">
        <v>4.5469999999999997</v>
      </c>
      <c r="C18" s="126">
        <v>4.8330000000000002</v>
      </c>
      <c r="D18" s="126">
        <v>5.1050000000000004</v>
      </c>
      <c r="E18" s="126">
        <v>5.12</v>
      </c>
      <c r="F18" s="126">
        <v>4.43</v>
      </c>
      <c r="G18" s="126">
        <v>4.1589999999999998</v>
      </c>
      <c r="H18" s="126">
        <v>4.0750000000000002</v>
      </c>
      <c r="I18" s="126">
        <v>3.9249999999999998</v>
      </c>
      <c r="J18" s="126">
        <v>4.0839999999999996</v>
      </c>
      <c r="K18" s="126"/>
      <c r="L18" s="126"/>
      <c r="M18" s="126"/>
    </row>
    <row r="19" spans="1:13">
      <c r="A19" s="126" t="s">
        <v>119</v>
      </c>
      <c r="B19" s="126">
        <v>4.5910000000000002</v>
      </c>
      <c r="C19" s="126">
        <v>4.819</v>
      </c>
      <c r="D19" s="126">
        <v>5.0289999999999999</v>
      </c>
      <c r="E19" s="126">
        <v>5.0960000000000001</v>
      </c>
      <c r="F19" s="126">
        <v>4.452</v>
      </c>
      <c r="G19" s="126">
        <v>4.1779999999999999</v>
      </c>
      <c r="H19" s="126">
        <v>4.0949999999999998</v>
      </c>
      <c r="I19" s="126">
        <v>3.9550000000000001</v>
      </c>
      <c r="J19" s="126">
        <v>4.1310000000000002</v>
      </c>
      <c r="K19" s="126"/>
      <c r="L19" s="126"/>
      <c r="M19" s="126"/>
    </row>
    <row r="20" spans="1:13">
      <c r="A20" s="126" t="s">
        <v>120</v>
      </c>
      <c r="B20" s="126">
        <v>4.601</v>
      </c>
      <c r="C20" s="126">
        <v>4.8170000000000002</v>
      </c>
      <c r="D20" s="126">
        <v>5.0270000000000001</v>
      </c>
      <c r="E20" s="126">
        <v>5.0490000000000004</v>
      </c>
      <c r="F20" s="126">
        <v>4.3239999999999998</v>
      </c>
      <c r="G20" s="126">
        <v>4.0350000000000001</v>
      </c>
      <c r="H20" s="126">
        <v>3.9460000000000002</v>
      </c>
      <c r="I20" s="126">
        <v>3.8210000000000002</v>
      </c>
      <c r="J20" s="126">
        <v>4.0149999999999997</v>
      </c>
      <c r="K20" s="126"/>
      <c r="L20" s="126"/>
      <c r="M20" s="126"/>
    </row>
    <row r="21" spans="1:13">
      <c r="A21" s="126" t="s">
        <v>121</v>
      </c>
      <c r="B21" s="126">
        <v>4.601</v>
      </c>
      <c r="C21" s="126">
        <v>4.8170000000000002</v>
      </c>
      <c r="D21" s="126">
        <v>5.0270000000000001</v>
      </c>
      <c r="E21" s="126">
        <v>5.0490000000000004</v>
      </c>
      <c r="F21" s="126">
        <v>4.3239999999999998</v>
      </c>
      <c r="G21" s="126">
        <v>4.0350000000000001</v>
      </c>
      <c r="H21" s="126">
        <v>3.9460000000000002</v>
      </c>
      <c r="I21" s="126">
        <v>3.8210000000000002</v>
      </c>
      <c r="J21" s="126">
        <v>4.0149999999999997</v>
      </c>
      <c r="K21" s="126"/>
      <c r="L21" s="126"/>
      <c r="M21" s="126"/>
    </row>
    <row r="22" spans="1:13">
      <c r="A22" s="126" t="s">
        <v>122</v>
      </c>
      <c r="B22" s="126">
        <v>4.5490000000000004</v>
      </c>
      <c r="C22" s="126">
        <v>4.8090000000000002</v>
      </c>
      <c r="D22" s="126">
        <v>5.008</v>
      </c>
      <c r="E22" s="126">
        <v>5.0460000000000003</v>
      </c>
      <c r="F22" s="126">
        <v>4.3739999999999997</v>
      </c>
      <c r="G22" s="126">
        <v>4.0759999999999996</v>
      </c>
      <c r="H22" s="126">
        <v>3.99</v>
      </c>
      <c r="I22" s="126">
        <v>3.8620000000000001</v>
      </c>
      <c r="J22" s="126">
        <v>4.0579999999999998</v>
      </c>
      <c r="K22" s="126"/>
      <c r="L22" s="126"/>
      <c r="M22" s="126"/>
    </row>
    <row r="23" spans="1:13">
      <c r="A23" s="126" t="s">
        <v>123</v>
      </c>
      <c r="B23" s="126">
        <v>4.5620000000000003</v>
      </c>
      <c r="C23" s="126">
        <v>4.7759999999999998</v>
      </c>
      <c r="D23" s="126">
        <v>5.0039999999999996</v>
      </c>
      <c r="E23" s="126">
        <v>5.0250000000000004</v>
      </c>
      <c r="F23" s="126">
        <v>4.359</v>
      </c>
      <c r="G23" s="126">
        <v>4.0529999999999999</v>
      </c>
      <c r="H23" s="126">
        <v>3.9390000000000001</v>
      </c>
      <c r="I23" s="126">
        <v>3.8069999999999999</v>
      </c>
      <c r="J23" s="126">
        <v>3.9910000000000001</v>
      </c>
      <c r="K23" s="126"/>
      <c r="L23" s="126"/>
      <c r="M23" s="126"/>
    </row>
    <row r="24" spans="1:13">
      <c r="A24" s="126" t="s">
        <v>124</v>
      </c>
      <c r="B24" s="126">
        <v>4.5579999999999998</v>
      </c>
      <c r="C24" s="126">
        <v>4.766</v>
      </c>
      <c r="D24" s="126">
        <v>5.0199999999999996</v>
      </c>
      <c r="E24" s="126">
        <v>5.0279999999999996</v>
      </c>
      <c r="F24" s="126">
        <v>4.3369999999999997</v>
      </c>
      <c r="G24" s="126">
        <v>4.01</v>
      </c>
      <c r="H24" s="126">
        <v>3.891</v>
      </c>
      <c r="I24" s="126">
        <v>3.7530000000000001</v>
      </c>
      <c r="J24" s="126">
        <v>3.9180000000000001</v>
      </c>
      <c r="K24" s="126"/>
      <c r="L24" s="126"/>
      <c r="M24" s="126"/>
    </row>
    <row r="25" spans="1:13">
      <c r="A25" s="126" t="s">
        <v>125</v>
      </c>
      <c r="B25" s="126">
        <v>4.5659999999999998</v>
      </c>
      <c r="C25" s="126">
        <v>4.7460000000000004</v>
      </c>
      <c r="D25" s="126">
        <v>4.9470000000000001</v>
      </c>
      <c r="E25" s="126">
        <v>4.976</v>
      </c>
      <c r="F25" s="126">
        <v>4.21</v>
      </c>
      <c r="G25" s="126">
        <v>3.9169999999999998</v>
      </c>
      <c r="H25" s="126">
        <v>3.8260000000000001</v>
      </c>
      <c r="I25" s="126">
        <v>3.7050000000000001</v>
      </c>
      <c r="J25" s="126">
        <v>3.91</v>
      </c>
      <c r="K25" s="126"/>
      <c r="L25" s="126"/>
      <c r="M25" s="126"/>
    </row>
    <row r="26" spans="1:13">
      <c r="A26" s="132">
        <v>45201</v>
      </c>
      <c r="B26" s="126">
        <v>4.548</v>
      </c>
      <c r="C26" s="126">
        <v>4.758</v>
      </c>
      <c r="D26" s="126">
        <v>4.9160000000000004</v>
      </c>
      <c r="E26" s="126">
        <v>4.9379999999999997</v>
      </c>
      <c r="F26" s="126">
        <v>4.2039999999999997</v>
      </c>
      <c r="G26" s="126">
        <v>3.931</v>
      </c>
      <c r="H26" s="126">
        <v>3.8559999999999999</v>
      </c>
      <c r="I26" s="126">
        <v>3.738</v>
      </c>
      <c r="J26" s="126">
        <v>3.956</v>
      </c>
      <c r="K26" s="126"/>
      <c r="L26" s="126"/>
      <c r="M26" s="126"/>
    </row>
    <row r="27" spans="1:13">
      <c r="A27" s="132">
        <v>45171</v>
      </c>
      <c r="B27" s="126">
        <v>4.6050000000000004</v>
      </c>
      <c r="C27" s="126">
        <v>4.7569999999999997</v>
      </c>
      <c r="D27" s="126">
        <v>4.9279999999999999</v>
      </c>
      <c r="E27" s="126">
        <v>4.9340000000000002</v>
      </c>
      <c r="F27" s="126">
        <v>4.1619999999999999</v>
      </c>
      <c r="G27" s="126">
        <v>3.8660000000000001</v>
      </c>
      <c r="H27" s="126">
        <v>3.7839999999999998</v>
      </c>
      <c r="I27" s="126">
        <v>3.6629999999999998</v>
      </c>
      <c r="J27" s="126">
        <v>3.8839999999999999</v>
      </c>
      <c r="K27" s="126"/>
      <c r="L27" s="126"/>
      <c r="M27" s="126"/>
    </row>
    <row r="28" spans="1:13">
      <c r="A28" s="132">
        <v>45140</v>
      </c>
      <c r="B28" s="126">
        <v>4.5670000000000002</v>
      </c>
      <c r="C28" s="126">
        <v>4.7140000000000004</v>
      </c>
      <c r="D28" s="126">
        <v>4.9210000000000003</v>
      </c>
      <c r="E28" s="126">
        <v>4.9160000000000004</v>
      </c>
      <c r="F28" s="126">
        <v>4.0750000000000002</v>
      </c>
      <c r="G28" s="126">
        <v>3.7970000000000002</v>
      </c>
      <c r="H28" s="126">
        <v>3.7149999999999999</v>
      </c>
      <c r="I28" s="126">
        <v>3.621</v>
      </c>
      <c r="J28" s="126">
        <v>3.8260000000000001</v>
      </c>
      <c r="K28" s="126"/>
      <c r="L28" s="126"/>
      <c r="M28" s="126"/>
    </row>
    <row r="29" spans="1:13">
      <c r="A29" s="132">
        <v>45109</v>
      </c>
      <c r="B29" s="126">
        <v>4.5629999999999997</v>
      </c>
      <c r="C29" s="126">
        <v>4.641</v>
      </c>
      <c r="D29" s="126">
        <v>4.8710000000000004</v>
      </c>
      <c r="E29" s="126">
        <v>4.93</v>
      </c>
      <c r="F29" s="126">
        <v>4.1230000000000002</v>
      </c>
      <c r="G29" s="126">
        <v>3.8420000000000001</v>
      </c>
      <c r="H29" s="126">
        <v>3.7709999999999999</v>
      </c>
      <c r="I29" s="126">
        <v>3.677</v>
      </c>
      <c r="J29" s="126">
        <v>3.8730000000000002</v>
      </c>
      <c r="K29" s="126"/>
      <c r="L29" s="126"/>
      <c r="M29" s="126"/>
    </row>
    <row r="30" spans="1:13">
      <c r="A30" s="132">
        <v>45079</v>
      </c>
      <c r="B30" s="126">
        <v>4.5659999999999998</v>
      </c>
      <c r="C30" s="126">
        <v>4.6500000000000004</v>
      </c>
      <c r="D30" s="126">
        <v>4.8719999999999999</v>
      </c>
      <c r="E30" s="126">
        <v>4.931</v>
      </c>
      <c r="F30" s="126">
        <v>4.16</v>
      </c>
      <c r="G30" s="126">
        <v>3.8319999999999999</v>
      </c>
      <c r="H30" s="126">
        <v>3.7490000000000001</v>
      </c>
      <c r="I30" s="126">
        <v>3.645</v>
      </c>
      <c r="J30" s="126">
        <v>3.827</v>
      </c>
      <c r="K30" s="126"/>
      <c r="L30" s="126"/>
      <c r="M30" s="126"/>
    </row>
    <row r="31" spans="1:13">
      <c r="A31" s="132">
        <v>44987</v>
      </c>
      <c r="B31" s="126">
        <v>4.5199999999999996</v>
      </c>
      <c r="C31" s="126">
        <v>4.62</v>
      </c>
      <c r="D31" s="126">
        <v>4.7779999999999996</v>
      </c>
      <c r="E31" s="126">
        <v>4.6870000000000003</v>
      </c>
      <c r="F31" s="126">
        <v>3.9649999999999999</v>
      </c>
      <c r="G31" s="126">
        <v>3.6619999999999999</v>
      </c>
      <c r="H31" s="126">
        <v>3.597</v>
      </c>
      <c r="I31" s="126">
        <v>3.524</v>
      </c>
      <c r="J31" s="126">
        <v>3.7559999999999998</v>
      </c>
      <c r="K31" s="126"/>
      <c r="L31" s="126"/>
      <c r="M31" s="126"/>
    </row>
    <row r="32" spans="1:13">
      <c r="A32" s="132">
        <v>44959</v>
      </c>
      <c r="B32" s="126">
        <v>4.5190000000000001</v>
      </c>
      <c r="C32" s="126">
        <v>4.633</v>
      </c>
      <c r="D32" s="126">
        <v>4.78</v>
      </c>
      <c r="E32" s="126">
        <v>4.6920000000000002</v>
      </c>
      <c r="F32" s="126">
        <v>3.778</v>
      </c>
      <c r="G32" s="126">
        <v>3.4929999999999999</v>
      </c>
      <c r="H32" s="126">
        <v>3.4470000000000001</v>
      </c>
      <c r="I32" s="126">
        <v>3.3980000000000001</v>
      </c>
      <c r="J32" s="126">
        <v>3.6619999999999999</v>
      </c>
      <c r="K32" s="126"/>
      <c r="L32" s="126"/>
      <c r="M32" s="126"/>
    </row>
    <row r="33" spans="1:13">
      <c r="A33" s="132">
        <v>44928</v>
      </c>
      <c r="B33" s="126">
        <v>4.508</v>
      </c>
      <c r="C33" s="126">
        <v>4.657</v>
      </c>
      <c r="D33" s="126">
        <v>4.8150000000000004</v>
      </c>
      <c r="E33" s="126">
        <v>4.7009999999999996</v>
      </c>
      <c r="F33" s="126">
        <v>3.798</v>
      </c>
      <c r="G33" s="126">
        <v>3.5289999999999999</v>
      </c>
      <c r="H33" s="126">
        <v>3.4750000000000001</v>
      </c>
      <c r="I33" s="126">
        <v>3.4239999999999999</v>
      </c>
      <c r="J33" s="126">
        <v>3.6869999999999998</v>
      </c>
      <c r="K33" s="126"/>
      <c r="L33" s="126"/>
      <c r="M33" s="126"/>
    </row>
    <row r="34" spans="1:13">
      <c r="A34" s="126" t="s">
        <v>126</v>
      </c>
      <c r="B34" s="126">
        <v>4.5270000000000001</v>
      </c>
      <c r="C34" s="126">
        <v>4.6520000000000001</v>
      </c>
      <c r="D34" s="126">
        <v>4.8289999999999997</v>
      </c>
      <c r="E34" s="126">
        <v>4.7869999999999999</v>
      </c>
      <c r="F34" s="126">
        <v>3.8919999999999999</v>
      </c>
      <c r="G34" s="126">
        <v>3.621</v>
      </c>
      <c r="H34" s="126">
        <v>3.5790000000000002</v>
      </c>
      <c r="I34" s="126">
        <v>3.5110000000000001</v>
      </c>
      <c r="J34" s="126">
        <v>3.7719999999999998</v>
      </c>
      <c r="K34" s="126"/>
      <c r="L34" s="126"/>
      <c r="M34" s="126"/>
    </row>
    <row r="35" spans="1:13">
      <c r="A35" s="126" t="s">
        <v>127</v>
      </c>
      <c r="B35" s="126">
        <v>4.4610000000000003</v>
      </c>
      <c r="C35" s="126">
        <v>4.6989999999999998</v>
      </c>
      <c r="D35" s="126">
        <v>4.7850000000000001</v>
      </c>
      <c r="E35" s="126">
        <v>4.7240000000000002</v>
      </c>
      <c r="F35" s="126">
        <v>3.94</v>
      </c>
      <c r="G35" s="126">
        <v>3.66</v>
      </c>
      <c r="H35" s="126">
        <v>3.6070000000000002</v>
      </c>
      <c r="I35" s="126">
        <v>3.5379999999999998</v>
      </c>
      <c r="J35" s="126">
        <v>3.7810000000000001</v>
      </c>
      <c r="K35" s="126"/>
      <c r="L35" s="126"/>
      <c r="M35" s="126"/>
    </row>
    <row r="36" spans="1:13">
      <c r="A36" s="126" t="s">
        <v>128</v>
      </c>
      <c r="B36" s="126">
        <v>4.4740000000000002</v>
      </c>
      <c r="C36" s="126">
        <v>4.6719999999999997</v>
      </c>
      <c r="D36" s="126">
        <v>4.8360000000000003</v>
      </c>
      <c r="E36" s="126">
        <v>4.7279999999999998</v>
      </c>
      <c r="F36" s="126">
        <v>3.9089999999999998</v>
      </c>
      <c r="G36" s="126">
        <v>3.6120000000000001</v>
      </c>
      <c r="H36" s="126">
        <v>3.569</v>
      </c>
      <c r="I36" s="126">
        <v>3.512</v>
      </c>
      <c r="J36" s="126">
        <v>3.7490000000000001</v>
      </c>
      <c r="K36" s="126"/>
      <c r="L36" s="126"/>
      <c r="M36" s="126"/>
    </row>
    <row r="37" spans="1:13">
      <c r="A37" s="126" t="s">
        <v>129</v>
      </c>
      <c r="B37" s="126">
        <v>4.4980000000000002</v>
      </c>
      <c r="C37" s="126">
        <v>4.6790000000000003</v>
      </c>
      <c r="D37" s="126">
        <v>4.8380000000000001</v>
      </c>
      <c r="E37" s="126">
        <v>4.726</v>
      </c>
      <c r="F37" s="126">
        <v>3.8860000000000001</v>
      </c>
      <c r="G37" s="126">
        <v>3.5979999999999999</v>
      </c>
      <c r="H37" s="126">
        <v>3.5529999999999999</v>
      </c>
      <c r="I37" s="126">
        <v>3.4969999999999999</v>
      </c>
      <c r="J37" s="126">
        <v>3.7679999999999998</v>
      </c>
      <c r="K37" s="126"/>
      <c r="L37" s="126"/>
      <c r="M37" s="126"/>
    </row>
    <row r="38" spans="1:13">
      <c r="A38" s="126" t="s">
        <v>130</v>
      </c>
      <c r="B38" s="126">
        <v>4.5289999999999999</v>
      </c>
      <c r="C38" s="126">
        <v>4.6769999999999996</v>
      </c>
      <c r="D38" s="126">
        <v>4.8250000000000002</v>
      </c>
      <c r="E38" s="126">
        <v>4.71</v>
      </c>
      <c r="F38" s="126">
        <v>3.8330000000000002</v>
      </c>
      <c r="G38" s="126">
        <v>3.5539999999999998</v>
      </c>
      <c r="H38" s="126">
        <v>3.4969999999999999</v>
      </c>
      <c r="I38" s="126">
        <v>3.448</v>
      </c>
      <c r="J38" s="126">
        <v>3.72</v>
      </c>
      <c r="K38" s="126"/>
      <c r="L38" s="126"/>
      <c r="M38" s="126"/>
    </row>
    <row r="39" spans="1:13">
      <c r="A39" s="126" t="s">
        <v>131</v>
      </c>
      <c r="B39" s="126">
        <v>4.57</v>
      </c>
      <c r="C39" s="126">
        <v>4.6859999999999999</v>
      </c>
      <c r="D39" s="126">
        <v>4.8609999999999998</v>
      </c>
      <c r="E39" s="126">
        <v>4.7240000000000002</v>
      </c>
      <c r="F39" s="126">
        <v>3.8490000000000002</v>
      </c>
      <c r="G39" s="126">
        <v>3.5779999999999998</v>
      </c>
      <c r="H39" s="126">
        <v>3.5110000000000001</v>
      </c>
      <c r="I39" s="126">
        <v>3.46</v>
      </c>
      <c r="J39" s="126">
        <v>3.7250000000000001</v>
      </c>
      <c r="K39" s="126"/>
      <c r="L39" s="126"/>
      <c r="M39" s="126"/>
    </row>
    <row r="40" spans="1:13">
      <c r="A40" s="126" t="s">
        <v>132</v>
      </c>
      <c r="B40" s="126">
        <v>4.5659999999999998</v>
      </c>
      <c r="C40" s="126">
        <v>4.6689999999999996</v>
      </c>
      <c r="D40" s="126">
        <v>4.8330000000000002</v>
      </c>
      <c r="E40" s="126">
        <v>4.7469999999999999</v>
      </c>
      <c r="F40" s="126">
        <v>3.8860000000000001</v>
      </c>
      <c r="G40" s="126">
        <v>3.62</v>
      </c>
      <c r="H40" s="126">
        <v>3.5680000000000001</v>
      </c>
      <c r="I40" s="126">
        <v>3.5209999999999999</v>
      </c>
      <c r="J40" s="126">
        <v>3.7959999999999998</v>
      </c>
      <c r="K40" s="126"/>
      <c r="L40" s="126"/>
      <c r="M40" s="126"/>
    </row>
    <row r="41" spans="1:13">
      <c r="A41" s="126" t="s">
        <v>133</v>
      </c>
      <c r="B41" s="126">
        <v>4.4539999999999997</v>
      </c>
      <c r="C41" s="126">
        <v>4.657</v>
      </c>
      <c r="D41" s="126">
        <v>4.8179999999999996</v>
      </c>
      <c r="E41" s="126">
        <v>4.734</v>
      </c>
      <c r="F41" s="126">
        <v>3.83</v>
      </c>
      <c r="G41" s="126">
        <v>3.5609999999999999</v>
      </c>
      <c r="H41" s="126">
        <v>3.5190000000000001</v>
      </c>
      <c r="I41" s="126">
        <v>3.48</v>
      </c>
      <c r="J41" s="126">
        <v>3.7730000000000001</v>
      </c>
      <c r="K41" s="126"/>
      <c r="L41" s="126"/>
      <c r="M41" s="126"/>
    </row>
    <row r="42" spans="1:13">
      <c r="A42" s="126" t="s">
        <v>134</v>
      </c>
      <c r="B42" s="126">
        <v>4.4630000000000001</v>
      </c>
      <c r="C42" s="126">
        <v>4.6559999999999997</v>
      </c>
      <c r="D42" s="126">
        <v>4.8250000000000002</v>
      </c>
      <c r="E42" s="126">
        <v>4.7220000000000004</v>
      </c>
      <c r="F42" s="126">
        <v>3.7719999999999998</v>
      </c>
      <c r="G42" s="126">
        <v>3.4860000000000002</v>
      </c>
      <c r="H42" s="126">
        <v>3.4369999999999998</v>
      </c>
      <c r="I42" s="126">
        <v>3.4</v>
      </c>
      <c r="J42" s="126">
        <v>3.6909999999999998</v>
      </c>
      <c r="K42" s="126"/>
      <c r="L42" s="126"/>
      <c r="M42" s="126"/>
    </row>
    <row r="43" spans="1:13">
      <c r="A43" s="126" t="s">
        <v>135</v>
      </c>
      <c r="B43" s="126">
        <v>4.452</v>
      </c>
      <c r="C43" s="126">
        <v>4.67</v>
      </c>
      <c r="D43" s="126">
        <v>4.8150000000000004</v>
      </c>
      <c r="E43" s="126">
        <v>4.6870000000000003</v>
      </c>
      <c r="F43" s="126">
        <v>3.7240000000000002</v>
      </c>
      <c r="G43" s="126">
        <v>3.444</v>
      </c>
      <c r="H43" s="126">
        <v>3.403</v>
      </c>
      <c r="I43" s="126">
        <v>3.3730000000000002</v>
      </c>
      <c r="J43" s="126">
        <v>3.6619999999999999</v>
      </c>
      <c r="K43" s="126"/>
      <c r="L43" s="126"/>
      <c r="M43" s="126"/>
    </row>
    <row r="44" spans="1:13">
      <c r="A44" s="126" t="s">
        <v>136</v>
      </c>
      <c r="B44" s="126">
        <v>4.4710000000000001</v>
      </c>
      <c r="C44" s="126">
        <v>4.6120000000000001</v>
      </c>
      <c r="D44" s="126">
        <v>4.766</v>
      </c>
      <c r="E44" s="126">
        <v>4.7370000000000001</v>
      </c>
      <c r="F44" s="126">
        <v>3.8860000000000001</v>
      </c>
      <c r="G44" s="126">
        <v>3.6240000000000001</v>
      </c>
      <c r="H44" s="126">
        <v>3.5979999999999999</v>
      </c>
      <c r="I44" s="126">
        <v>3.5489999999999999</v>
      </c>
      <c r="J44" s="126">
        <v>3.819</v>
      </c>
      <c r="K44" s="126"/>
      <c r="L44" s="126"/>
      <c r="M44" s="126"/>
    </row>
    <row r="45" spans="1:13">
      <c r="A45" s="126" t="s">
        <v>137</v>
      </c>
      <c r="B45" s="126">
        <v>4.4480000000000004</v>
      </c>
      <c r="C45" s="126">
        <v>4.6120000000000001</v>
      </c>
      <c r="D45" s="126">
        <v>4.79</v>
      </c>
      <c r="E45" s="126">
        <v>4.7350000000000003</v>
      </c>
      <c r="F45" s="126">
        <v>3.8919999999999999</v>
      </c>
      <c r="G45" s="126">
        <v>3.6110000000000002</v>
      </c>
      <c r="H45" s="126">
        <v>3.56</v>
      </c>
      <c r="I45" s="126">
        <v>3.5049999999999999</v>
      </c>
      <c r="J45" s="126">
        <v>3.782</v>
      </c>
      <c r="K45" s="126"/>
      <c r="L45" s="126"/>
      <c r="M45" s="126"/>
    </row>
    <row r="46" spans="1:13">
      <c r="A46" s="132">
        <v>45261</v>
      </c>
      <c r="B46" s="126">
        <v>4.2169999999999996</v>
      </c>
      <c r="C46" s="126">
        <v>4.5960000000000001</v>
      </c>
      <c r="D46" s="126">
        <v>4.79</v>
      </c>
      <c r="E46" s="126">
        <v>4.7210000000000001</v>
      </c>
      <c r="F46" s="126">
        <v>3.8079999999999998</v>
      </c>
      <c r="G46" s="126">
        <v>3.5390000000000001</v>
      </c>
      <c r="H46" s="126">
        <v>3.4940000000000002</v>
      </c>
      <c r="I46" s="126">
        <v>3.4460000000000002</v>
      </c>
      <c r="J46" s="126">
        <v>3.7469999999999999</v>
      </c>
      <c r="K46" s="126"/>
      <c r="L46" s="126"/>
      <c r="M46" s="126"/>
    </row>
    <row r="47" spans="1:13">
      <c r="A47" s="132">
        <v>45231</v>
      </c>
      <c r="B47" s="126">
        <v>4.2430000000000003</v>
      </c>
      <c r="C47" s="126">
        <v>4.68</v>
      </c>
      <c r="D47" s="126">
        <v>4.8630000000000004</v>
      </c>
      <c r="E47" s="126">
        <v>4.78</v>
      </c>
      <c r="F47" s="126">
        <v>3.9249999999999998</v>
      </c>
      <c r="G47" s="126">
        <v>3.6739999999999999</v>
      </c>
      <c r="H47" s="126">
        <v>3.6040000000000001</v>
      </c>
      <c r="I47" s="126">
        <v>3.5409999999999999</v>
      </c>
      <c r="J47" s="126">
        <v>3.839</v>
      </c>
      <c r="K47" s="126"/>
      <c r="L47" s="126"/>
      <c r="M47" s="126"/>
    </row>
    <row r="48" spans="1:13">
      <c r="A48" s="132">
        <v>45200</v>
      </c>
      <c r="B48" s="126">
        <v>4.2309999999999999</v>
      </c>
      <c r="C48" s="126">
        <v>4.6230000000000002</v>
      </c>
      <c r="D48" s="126">
        <v>4.8419999999999996</v>
      </c>
      <c r="E48" s="126">
        <v>4.7720000000000002</v>
      </c>
      <c r="F48" s="126">
        <v>3.996</v>
      </c>
      <c r="G48" s="126">
        <v>3.7320000000000002</v>
      </c>
      <c r="H48" s="126">
        <v>3.68</v>
      </c>
      <c r="I48" s="126">
        <v>3.621</v>
      </c>
      <c r="J48" s="126">
        <v>3.9220000000000002</v>
      </c>
      <c r="K48" s="126"/>
      <c r="L48" s="126"/>
      <c r="M48" s="126"/>
    </row>
    <row r="49" spans="1:13">
      <c r="A49" s="132">
        <v>45170</v>
      </c>
      <c r="B49" s="126">
        <v>4.2439999999999998</v>
      </c>
      <c r="C49" s="126">
        <v>4.617</v>
      </c>
      <c r="D49" s="126">
        <v>4.827</v>
      </c>
      <c r="E49" s="126">
        <v>4.75</v>
      </c>
      <c r="F49" s="126">
        <v>3.956</v>
      </c>
      <c r="G49" s="126">
        <v>3.6720000000000002</v>
      </c>
      <c r="H49" s="126">
        <v>3.6120000000000001</v>
      </c>
      <c r="I49" s="126">
        <v>3.5379999999999998</v>
      </c>
      <c r="J49" s="126">
        <v>3.8279999999999998</v>
      </c>
      <c r="K49" s="126"/>
      <c r="L49" s="126"/>
      <c r="M49" s="126"/>
    </row>
    <row r="50" spans="1:13">
      <c r="A50" s="132">
        <v>45078</v>
      </c>
      <c r="B50" s="126">
        <v>4.0890000000000004</v>
      </c>
      <c r="C50" s="126">
        <v>4.6150000000000002</v>
      </c>
      <c r="D50" s="126">
        <v>4.82</v>
      </c>
      <c r="E50" s="126">
        <v>4.7649999999999997</v>
      </c>
      <c r="F50" s="126">
        <v>3.9929999999999999</v>
      </c>
      <c r="G50" s="126">
        <v>3.7029999999999998</v>
      </c>
      <c r="H50" s="126">
        <v>3.641</v>
      </c>
      <c r="I50" s="126">
        <v>3.5630000000000002</v>
      </c>
      <c r="J50" s="126">
        <v>3.8559999999999999</v>
      </c>
      <c r="K50" s="126"/>
      <c r="L50" s="126"/>
      <c r="M50" s="126"/>
    </row>
    <row r="51" spans="1:13">
      <c r="A51" s="132">
        <v>45047</v>
      </c>
      <c r="B51" s="126">
        <v>4.0209999999999999</v>
      </c>
      <c r="C51" s="126">
        <v>4.617</v>
      </c>
      <c r="D51" s="126">
        <v>4.8460000000000001</v>
      </c>
      <c r="E51" s="126">
        <v>4.83</v>
      </c>
      <c r="F51" s="126">
        <v>4.2130000000000001</v>
      </c>
      <c r="G51" s="126">
        <v>3.9220000000000002</v>
      </c>
      <c r="H51" s="126">
        <v>3.8159999999999998</v>
      </c>
      <c r="I51" s="126">
        <v>3.7189999999999999</v>
      </c>
      <c r="J51" s="126">
        <v>3.9590000000000001</v>
      </c>
      <c r="K51" s="126"/>
      <c r="L51" s="126"/>
      <c r="M51" s="126"/>
    </row>
    <row r="52" spans="1:13">
      <c r="A52" s="132">
        <v>45017</v>
      </c>
      <c r="B52" s="126">
        <v>4.0369999999999999</v>
      </c>
      <c r="C52" s="126">
        <v>4.5140000000000002</v>
      </c>
      <c r="D52" s="126">
        <v>4.78</v>
      </c>
      <c r="E52" s="126">
        <v>4.7309999999999999</v>
      </c>
      <c r="F52" s="126">
        <v>4.1130000000000004</v>
      </c>
      <c r="G52" s="126">
        <v>3.8439999999999999</v>
      </c>
      <c r="H52" s="126">
        <v>3.774</v>
      </c>
      <c r="I52" s="126">
        <v>3.6869999999999998</v>
      </c>
      <c r="J52" s="126">
        <v>3.9630000000000001</v>
      </c>
      <c r="K52" s="126"/>
      <c r="L52" s="126"/>
      <c r="M52" s="126"/>
    </row>
    <row r="53" spans="1:13">
      <c r="A53" s="132">
        <v>44986</v>
      </c>
      <c r="B53" s="126">
        <v>4.0190000000000001</v>
      </c>
      <c r="C53" s="126">
        <v>4.3849999999999998</v>
      </c>
      <c r="D53" s="126">
        <v>4.7709999999999999</v>
      </c>
      <c r="E53" s="126">
        <v>4.76</v>
      </c>
      <c r="F53" s="126">
        <v>4.1529999999999996</v>
      </c>
      <c r="G53" s="126">
        <v>3.9060000000000001</v>
      </c>
      <c r="H53" s="126">
        <v>3.843</v>
      </c>
      <c r="I53" s="126">
        <v>3.7450000000000001</v>
      </c>
      <c r="J53" s="126">
        <v>4.0170000000000003</v>
      </c>
      <c r="K53" s="126"/>
      <c r="L53" s="126"/>
      <c r="M53" s="126"/>
    </row>
    <row r="54" spans="1:13">
      <c r="A54" s="126" t="s">
        <v>138</v>
      </c>
      <c r="B54" s="126">
        <v>3.9969999999999999</v>
      </c>
      <c r="C54" s="126">
        <v>4.42</v>
      </c>
      <c r="D54" s="126">
        <v>4.6680000000000001</v>
      </c>
      <c r="E54" s="126">
        <v>4.7320000000000002</v>
      </c>
      <c r="F54" s="126">
        <v>4.2389999999999999</v>
      </c>
      <c r="G54" s="126">
        <v>4.0060000000000002</v>
      </c>
      <c r="H54" s="126">
        <v>3.9689999999999999</v>
      </c>
      <c r="I54" s="126">
        <v>3.88</v>
      </c>
      <c r="J54" s="126">
        <v>4.1440000000000001</v>
      </c>
      <c r="K54" s="126"/>
      <c r="L54" s="126"/>
      <c r="M54" s="126"/>
    </row>
    <row r="55" spans="1:13">
      <c r="A55" s="126" t="s">
        <v>139</v>
      </c>
      <c r="B55" s="126">
        <v>3.5339999999999998</v>
      </c>
      <c r="C55" s="126">
        <v>4.4139999999999997</v>
      </c>
      <c r="D55" s="126">
        <v>4.718</v>
      </c>
      <c r="E55" s="126">
        <v>4.7409999999999997</v>
      </c>
      <c r="F55" s="126">
        <v>4.1779999999999999</v>
      </c>
      <c r="G55" s="126">
        <v>3.944</v>
      </c>
      <c r="H55" s="126">
        <v>3.9159999999999999</v>
      </c>
      <c r="I55" s="126">
        <v>3.82</v>
      </c>
      <c r="J55" s="126">
        <v>4.0780000000000003</v>
      </c>
      <c r="K55" s="126"/>
      <c r="L55" s="126"/>
      <c r="M55" s="126"/>
    </row>
    <row r="56" spans="1:13">
      <c r="A56" s="126" t="s">
        <v>140</v>
      </c>
      <c r="B56" s="126">
        <v>3.621</v>
      </c>
      <c r="C56" s="126">
        <v>4.4560000000000004</v>
      </c>
      <c r="D56" s="126">
        <v>4.74</v>
      </c>
      <c r="E56" s="126">
        <v>4.7409999999999997</v>
      </c>
      <c r="F56" s="126">
        <v>4.181</v>
      </c>
      <c r="G56" s="126">
        <v>3.9710000000000001</v>
      </c>
      <c r="H56" s="126">
        <v>3.9660000000000002</v>
      </c>
      <c r="I56" s="126">
        <v>3.8839999999999999</v>
      </c>
      <c r="J56" s="126">
        <v>4.1399999999999997</v>
      </c>
      <c r="K56" s="126"/>
      <c r="L56" s="126"/>
      <c r="M56" s="126"/>
    </row>
    <row r="57" spans="1:13">
      <c r="A57" s="126" t="s">
        <v>141</v>
      </c>
      <c r="B57" s="126">
        <v>3.665</v>
      </c>
      <c r="C57" s="126">
        <v>4.3049999999999997</v>
      </c>
      <c r="D57" s="126">
        <v>4.665</v>
      </c>
      <c r="E57" s="126">
        <v>4.7359999999999998</v>
      </c>
      <c r="F57" s="126">
        <v>4.1689999999999996</v>
      </c>
      <c r="G57" s="126">
        <v>3.94</v>
      </c>
      <c r="H57" s="126">
        <v>3.93</v>
      </c>
      <c r="I57" s="126">
        <v>3.847</v>
      </c>
      <c r="J57" s="126">
        <v>4.1040000000000001</v>
      </c>
      <c r="K57" s="126"/>
      <c r="L57" s="126"/>
      <c r="M57" s="126"/>
    </row>
    <row r="58" spans="1:13">
      <c r="A58" s="126" t="s">
        <v>142</v>
      </c>
      <c r="B58" s="126">
        <v>3.6549999999999998</v>
      </c>
      <c r="C58" s="126">
        <v>4.3209999999999997</v>
      </c>
      <c r="D58" s="126">
        <v>4.6630000000000003</v>
      </c>
      <c r="E58" s="126">
        <v>4.6950000000000003</v>
      </c>
      <c r="F58" s="126">
        <v>4.093</v>
      </c>
      <c r="G58" s="126">
        <v>3.859</v>
      </c>
      <c r="H58" s="126">
        <v>3.8380000000000001</v>
      </c>
      <c r="I58" s="126">
        <v>3.7490000000000001</v>
      </c>
      <c r="J58" s="126">
        <v>4.0030000000000001</v>
      </c>
      <c r="K58" s="126"/>
      <c r="L58" s="126"/>
      <c r="M58" s="126"/>
    </row>
    <row r="59" spans="1:13">
      <c r="A59" s="126" t="s">
        <v>143</v>
      </c>
      <c r="B59" s="126">
        <v>3.7</v>
      </c>
      <c r="C59" s="126">
        <v>4.3330000000000002</v>
      </c>
      <c r="D59" s="126">
        <v>4.6710000000000003</v>
      </c>
      <c r="E59" s="126">
        <v>4.67</v>
      </c>
      <c r="F59" s="126">
        <v>4.0359999999999996</v>
      </c>
      <c r="G59" s="126">
        <v>3.7989999999999999</v>
      </c>
      <c r="H59" s="126">
        <v>3.7789999999999999</v>
      </c>
      <c r="I59" s="126">
        <v>3.6819999999999999</v>
      </c>
      <c r="J59" s="126">
        <v>3.9289999999999998</v>
      </c>
      <c r="K59" s="126"/>
      <c r="L59" s="126"/>
      <c r="M59" s="126"/>
    </row>
    <row r="60" spans="1:13">
      <c r="A60" s="126" t="s">
        <v>144</v>
      </c>
      <c r="B60" s="126">
        <v>3.698</v>
      </c>
      <c r="C60" s="126">
        <v>4.3390000000000004</v>
      </c>
      <c r="D60" s="126">
        <v>4.6769999999999996</v>
      </c>
      <c r="E60" s="126">
        <v>4.6399999999999997</v>
      </c>
      <c r="F60" s="126">
        <v>3.9830000000000001</v>
      </c>
      <c r="G60" s="126">
        <v>3.7709999999999999</v>
      </c>
      <c r="H60" s="126">
        <v>3.76</v>
      </c>
      <c r="I60" s="126">
        <v>3.673</v>
      </c>
      <c r="J60" s="126">
        <v>3.91</v>
      </c>
      <c r="K60" s="126"/>
      <c r="L60" s="126"/>
      <c r="M60" s="126"/>
    </row>
    <row r="61" spans="1:13">
      <c r="A61" s="126" t="s">
        <v>145</v>
      </c>
      <c r="B61" s="126">
        <v>3.7410000000000001</v>
      </c>
      <c r="C61" s="126">
        <v>4.3090000000000002</v>
      </c>
      <c r="D61" s="126">
        <v>4.7089999999999996</v>
      </c>
      <c r="E61" s="126">
        <v>4.6760000000000002</v>
      </c>
      <c r="F61" s="126">
        <v>4.0110000000000001</v>
      </c>
      <c r="G61" s="126">
        <v>3.7890000000000001</v>
      </c>
      <c r="H61" s="126">
        <v>3.774</v>
      </c>
      <c r="I61" s="126">
        <v>3.69</v>
      </c>
      <c r="J61" s="126">
        <v>3.9430000000000001</v>
      </c>
      <c r="K61" s="126"/>
      <c r="L61" s="126"/>
      <c r="M61" s="126"/>
    </row>
    <row r="62" spans="1:13">
      <c r="A62" s="126" t="s">
        <v>146</v>
      </c>
      <c r="B62" s="126">
        <v>3.823</v>
      </c>
      <c r="C62" s="126">
        <v>4.2670000000000003</v>
      </c>
      <c r="D62" s="126">
        <v>4.6470000000000002</v>
      </c>
      <c r="E62" s="126">
        <v>4.68</v>
      </c>
      <c r="F62" s="126">
        <v>4.0049999999999999</v>
      </c>
      <c r="G62" s="126">
        <v>3.7189999999999999</v>
      </c>
      <c r="H62" s="126">
        <v>3.677</v>
      </c>
      <c r="I62" s="126">
        <v>3.5859999999999999</v>
      </c>
      <c r="J62" s="126">
        <v>3.827</v>
      </c>
      <c r="K62" s="126"/>
      <c r="L62" s="126"/>
      <c r="M62" s="126"/>
    </row>
    <row r="63" spans="1:13">
      <c r="A63" s="126" t="s">
        <v>147</v>
      </c>
      <c r="B63" s="126">
        <v>3.8340000000000001</v>
      </c>
      <c r="C63" s="126">
        <v>4.3010000000000002</v>
      </c>
      <c r="D63" s="126">
        <v>4.6609999999999996</v>
      </c>
      <c r="E63" s="126">
        <v>4.641</v>
      </c>
      <c r="F63" s="126">
        <v>3.91</v>
      </c>
      <c r="G63" s="126">
        <v>3.6309999999999998</v>
      </c>
      <c r="H63" s="126">
        <v>3.589</v>
      </c>
      <c r="I63" s="126">
        <v>3.4889999999999999</v>
      </c>
      <c r="J63" s="126">
        <v>3.7429999999999999</v>
      </c>
      <c r="K63" s="126"/>
      <c r="L63" s="126"/>
      <c r="M63" s="126"/>
    </row>
    <row r="64" spans="1:13">
      <c r="A64" s="126" t="s">
        <v>148</v>
      </c>
      <c r="B64" s="126">
        <v>3.83</v>
      </c>
      <c r="C64" s="126">
        <v>4.3230000000000004</v>
      </c>
      <c r="D64" s="126">
        <v>4.6760000000000002</v>
      </c>
      <c r="E64" s="126">
        <v>4.6790000000000003</v>
      </c>
      <c r="F64" s="126">
        <v>3.9580000000000002</v>
      </c>
      <c r="G64" s="126">
        <v>3.6259999999999999</v>
      </c>
      <c r="H64" s="126">
        <v>3.5569999999999999</v>
      </c>
      <c r="I64" s="126">
        <v>3.448</v>
      </c>
      <c r="J64" s="126">
        <v>3.6930000000000001</v>
      </c>
      <c r="K64" s="126"/>
      <c r="L64" s="126"/>
      <c r="M64" s="126"/>
    </row>
    <row r="65" spans="1:13">
      <c r="A65" s="134" t="s">
        <v>158</v>
      </c>
      <c r="B65" s="134">
        <f>AVERAGE(B3:B64)</f>
        <v>4.3421774193548375</v>
      </c>
      <c r="C65" s="134">
        <f t="shared" ref="C65:J65" si="0">AVERAGE(C3:C64)</f>
        <v>4.6610000000000005</v>
      </c>
      <c r="D65" s="134">
        <f t="shared" si="0"/>
        <v>4.8854677419354839</v>
      </c>
      <c r="E65" s="134">
        <f t="shared" si="0"/>
        <v>4.8381774193548397</v>
      </c>
      <c r="F65" s="134">
        <f t="shared" si="0"/>
        <v>4.1425161290322574</v>
      </c>
      <c r="G65" s="134">
        <f t="shared" si="0"/>
        <v>3.8574193548387083</v>
      </c>
      <c r="H65" s="134">
        <f t="shared" si="0"/>
        <v>3.7914193548387094</v>
      </c>
      <c r="I65" s="134">
        <f t="shared" si="0"/>
        <v>3.6888870967741929</v>
      </c>
      <c r="J65" s="134">
        <f t="shared" si="0"/>
        <v>3.9211612903225812</v>
      </c>
      <c r="K65" s="126"/>
      <c r="L65" s="126"/>
      <c r="M65" s="126"/>
    </row>
    <row r="66" spans="1:13">
      <c r="A66" s="126"/>
      <c r="B66" s="126"/>
      <c r="C66" s="126"/>
      <c r="D66" s="126"/>
      <c r="E66" s="126"/>
      <c r="F66" s="126"/>
      <c r="G66" s="126"/>
      <c r="H66" s="126"/>
      <c r="I66" s="126"/>
      <c r="J66" s="126"/>
      <c r="K66" s="126"/>
      <c r="L66" s="126"/>
      <c r="M66" s="126"/>
    </row>
  </sheetData>
  <hyperlinks>
    <hyperlink ref="N7" r:id="rId1" xr:uid="{A197C4A8-E279-4801-8E00-9E09E5A6AFBB}"/>
  </hyperlinks>
  <pageMargins left="0.7" right="0.7" top="0.75" bottom="0.75" header="0.3" footer="0.3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3C1A5-98EF-40DE-BA27-2DA1048E4AA8}">
  <dimension ref="A2:S161"/>
  <sheetViews>
    <sheetView zoomScale="72" workbookViewId="0">
      <selection activeCell="M24" sqref="M24"/>
    </sheetView>
  </sheetViews>
  <sheetFormatPr defaultRowHeight="13.8"/>
  <cols>
    <col min="1" max="1" width="14.21875" style="126" customWidth="1"/>
    <col min="2" max="2" width="14.5546875" style="126" customWidth="1"/>
    <col min="3" max="3" width="12.77734375" style="126" customWidth="1"/>
    <col min="4" max="4" width="6.77734375" style="126" customWidth="1"/>
    <col min="5" max="5" width="6.109375" style="126" customWidth="1"/>
    <col min="6" max="6" width="12" style="126" customWidth="1"/>
    <col min="7" max="7" width="13.5546875" style="126" customWidth="1"/>
    <col min="8" max="8" width="12.5546875" style="126" customWidth="1"/>
    <col min="9" max="9" width="7.21875" style="126" customWidth="1"/>
    <col min="10" max="10" width="16" style="126" bestFit="1" customWidth="1"/>
    <col min="11" max="11" width="18.21875" style="126" bestFit="1" customWidth="1"/>
    <col min="12" max="12" width="9" style="126" bestFit="1" customWidth="1"/>
    <col min="13" max="13" width="15" style="126" bestFit="1" customWidth="1"/>
    <col min="14" max="14" width="9" style="126" bestFit="1" customWidth="1"/>
    <col min="15" max="15" width="13.77734375" style="126" bestFit="1" customWidth="1"/>
    <col min="16" max="16" width="14.6640625" style="126" bestFit="1" customWidth="1"/>
    <col min="17" max="17" width="9" style="126" bestFit="1" customWidth="1"/>
    <col min="18" max="18" width="14" style="126" bestFit="1" customWidth="1"/>
    <col min="19" max="19" width="13.44140625" style="126" bestFit="1" customWidth="1"/>
    <col min="20" max="16384" width="8.88671875" style="126"/>
  </cols>
  <sheetData>
    <row r="2" spans="1:19" ht="17.399999999999999">
      <c r="A2" s="280" t="s">
        <v>160</v>
      </c>
      <c r="B2" s="280"/>
      <c r="C2" s="280"/>
      <c r="D2" s="135"/>
      <c r="F2" s="281" t="s">
        <v>161</v>
      </c>
      <c r="G2" s="281"/>
      <c r="H2" s="281"/>
    </row>
    <row r="5" spans="1:19">
      <c r="A5" s="136" t="s">
        <v>110</v>
      </c>
      <c r="B5" s="137" t="s">
        <v>212</v>
      </c>
      <c r="C5" s="137" t="s">
        <v>162</v>
      </c>
      <c r="F5" s="132" t="s">
        <v>110</v>
      </c>
      <c r="G5" s="126" t="s">
        <v>212</v>
      </c>
      <c r="H5" s="126" t="s">
        <v>213</v>
      </c>
    </row>
    <row r="6" spans="1:19" ht="14.4">
      <c r="A6" s="138">
        <v>40179</v>
      </c>
      <c r="B6" s="139">
        <v>27.125</v>
      </c>
      <c r="C6" s="139"/>
      <c r="F6" s="140">
        <v>40179</v>
      </c>
      <c r="G6" s="141">
        <v>1073.869995</v>
      </c>
      <c r="H6" s="141"/>
      <c r="K6" s="142" t="s">
        <v>163</v>
      </c>
      <c r="L6" s="143"/>
      <c r="M6" s="144"/>
      <c r="N6" s="145" t="s">
        <v>195</v>
      </c>
      <c r="O6" s="146">
        <f>L21</f>
        <v>0.43288022993804787</v>
      </c>
      <c r="P6" s="144"/>
      <c r="Q6" s="144"/>
      <c r="R6" s="144"/>
      <c r="S6" s="147"/>
    </row>
    <row r="7" spans="1:19">
      <c r="A7" s="138">
        <v>40210</v>
      </c>
      <c r="B7" s="139">
        <v>26.360001</v>
      </c>
      <c r="C7" s="139">
        <f>LN(B7/B6)</f>
        <v>-2.8608064290050819E-2</v>
      </c>
      <c r="F7" s="140">
        <v>40210</v>
      </c>
      <c r="G7" s="141">
        <v>1104.48999</v>
      </c>
      <c r="H7" s="141">
        <f>LN(G7/G6)</f>
        <v>2.8114739638764777E-2</v>
      </c>
      <c r="K7" s="148" t="s">
        <v>164</v>
      </c>
      <c r="L7" s="149">
        <v>0.39234043993615486</v>
      </c>
      <c r="M7" s="149"/>
      <c r="N7" s="149"/>
      <c r="O7" s="150"/>
      <c r="P7" s="149"/>
      <c r="Q7" s="149"/>
      <c r="R7" s="149"/>
      <c r="S7" s="151"/>
    </row>
    <row r="8" spans="1:19">
      <c r="A8" s="138">
        <v>40238</v>
      </c>
      <c r="B8" s="139">
        <v>27.5</v>
      </c>
      <c r="C8" s="139">
        <f t="shared" ref="C8:C71" si="0">LN(B8/B7)</f>
        <v>4.2338257101952811E-2</v>
      </c>
      <c r="F8" s="140">
        <v>40238</v>
      </c>
      <c r="G8" s="141">
        <v>1169.4300539999999</v>
      </c>
      <c r="H8" s="141">
        <f t="shared" ref="H8:H71" si="1">LN(G8/G7)</f>
        <v>5.713281587577692E-2</v>
      </c>
      <c r="K8" s="148" t="s">
        <v>165</v>
      </c>
      <c r="L8" s="149">
        <v>0.15393102080929552</v>
      </c>
      <c r="M8" s="149"/>
      <c r="N8" s="149"/>
      <c r="O8" s="149"/>
      <c r="P8" s="149"/>
      <c r="Q8" s="149"/>
      <c r="R8" s="149"/>
      <c r="S8" s="151"/>
    </row>
    <row r="9" spans="1:19">
      <c r="A9" s="138">
        <v>40269</v>
      </c>
      <c r="B9" s="139">
        <v>26.725000000000001</v>
      </c>
      <c r="C9" s="139">
        <f t="shared" si="0"/>
        <v>-2.8586547761416586E-2</v>
      </c>
      <c r="F9" s="140">
        <v>40269</v>
      </c>
      <c r="G9" s="141">
        <v>1186.6899410000001</v>
      </c>
      <c r="H9" s="141">
        <f t="shared" si="1"/>
        <v>1.4651372417397389E-2</v>
      </c>
      <c r="K9" s="148" t="s">
        <v>166</v>
      </c>
      <c r="L9" s="149">
        <v>0.14840115820020594</v>
      </c>
      <c r="M9" s="149"/>
      <c r="N9" s="149"/>
      <c r="O9" s="149"/>
      <c r="P9" s="149"/>
      <c r="Q9" s="149"/>
      <c r="R9" s="149"/>
      <c r="S9" s="151"/>
    </row>
    <row r="10" spans="1:19">
      <c r="A10" s="138">
        <v>40299</v>
      </c>
      <c r="B10" s="139">
        <v>25.700001</v>
      </c>
      <c r="C10" s="139">
        <f t="shared" si="0"/>
        <v>-3.9108426099429772E-2</v>
      </c>
      <c r="F10" s="140">
        <v>40299</v>
      </c>
      <c r="G10" s="141">
        <v>1089.410034</v>
      </c>
      <c r="H10" s="141">
        <f t="shared" si="1"/>
        <v>-8.5531572706092185E-2</v>
      </c>
      <c r="K10" s="148" t="s">
        <v>167</v>
      </c>
      <c r="L10" s="149">
        <v>4.5012674466306031E-2</v>
      </c>
      <c r="M10" s="149"/>
      <c r="N10" s="149"/>
      <c r="O10" s="149"/>
      <c r="P10" s="149"/>
      <c r="Q10" s="149"/>
      <c r="R10" s="149"/>
      <c r="S10" s="151"/>
    </row>
    <row r="11" spans="1:19" ht="14.4" thickBot="1">
      <c r="A11" s="138">
        <v>40330</v>
      </c>
      <c r="B11" s="139">
        <v>25.059999000000001</v>
      </c>
      <c r="C11" s="139">
        <f t="shared" si="0"/>
        <v>-2.5218121247987585E-2</v>
      </c>
      <c r="F11" s="140">
        <v>40330</v>
      </c>
      <c r="G11" s="141">
        <v>1030.709961</v>
      </c>
      <c r="H11" s="141">
        <f t="shared" si="1"/>
        <v>-5.5388449179925643E-2</v>
      </c>
      <c r="K11" s="152" t="s">
        <v>168</v>
      </c>
      <c r="L11" s="153">
        <v>155</v>
      </c>
      <c r="M11" s="149"/>
      <c r="N11" s="149"/>
      <c r="O11" s="149"/>
      <c r="P11" s="149"/>
      <c r="Q11" s="149"/>
      <c r="R11" s="149"/>
      <c r="S11" s="151"/>
    </row>
    <row r="12" spans="1:19">
      <c r="A12" s="138">
        <v>40360</v>
      </c>
      <c r="B12" s="139">
        <v>27.555</v>
      </c>
      <c r="C12" s="139">
        <f t="shared" si="0"/>
        <v>9.4911097771506914E-2</v>
      </c>
      <c r="F12" s="140">
        <v>40360</v>
      </c>
      <c r="G12" s="141">
        <v>1101.599976</v>
      </c>
      <c r="H12" s="141">
        <f t="shared" si="1"/>
        <v>6.6515799326092917E-2</v>
      </c>
      <c r="K12" s="148"/>
      <c r="L12" s="149"/>
      <c r="M12" s="149"/>
      <c r="N12" s="149"/>
      <c r="O12" s="149"/>
      <c r="P12" s="149"/>
      <c r="Q12" s="149"/>
      <c r="R12" s="149"/>
      <c r="S12" s="151"/>
    </row>
    <row r="13" spans="1:19" ht="14.4" thickBot="1">
      <c r="A13" s="138">
        <v>40391</v>
      </c>
      <c r="B13" s="139">
        <v>27.940000999999999</v>
      </c>
      <c r="C13" s="139">
        <f t="shared" si="0"/>
        <v>1.3875382284597179E-2</v>
      </c>
      <c r="F13" s="140">
        <v>40391</v>
      </c>
      <c r="G13" s="141">
        <v>1049.329956</v>
      </c>
      <c r="H13" s="141">
        <f t="shared" si="1"/>
        <v>-4.8611823315409079E-2</v>
      </c>
      <c r="K13" s="148" t="s">
        <v>169</v>
      </c>
      <c r="L13" s="149"/>
      <c r="M13" s="149"/>
      <c r="N13" s="149"/>
      <c r="O13" s="149"/>
      <c r="P13" s="149"/>
      <c r="Q13" s="149"/>
      <c r="R13" s="149"/>
      <c r="S13" s="151"/>
    </row>
    <row r="14" spans="1:19" ht="14.4">
      <c r="A14" s="138">
        <v>40422</v>
      </c>
      <c r="B14" s="139">
        <v>29.26</v>
      </c>
      <c r="C14" s="139">
        <f t="shared" si="0"/>
        <v>4.6162005972182583E-2</v>
      </c>
      <c r="F14" s="140">
        <v>40422</v>
      </c>
      <c r="G14" s="141">
        <v>1141.1999510000001</v>
      </c>
      <c r="H14" s="141">
        <f t="shared" si="1"/>
        <v>8.3928474089541724E-2</v>
      </c>
      <c r="K14" s="154"/>
      <c r="L14" s="155" t="s">
        <v>174</v>
      </c>
      <c r="M14" s="155" t="s">
        <v>175</v>
      </c>
      <c r="N14" s="155" t="s">
        <v>176</v>
      </c>
      <c r="O14" s="155" t="s">
        <v>177</v>
      </c>
      <c r="P14" s="155" t="s">
        <v>178</v>
      </c>
      <c r="Q14" s="149"/>
      <c r="R14" s="149"/>
      <c r="S14" s="151"/>
    </row>
    <row r="15" spans="1:19">
      <c r="A15" s="138">
        <v>40452</v>
      </c>
      <c r="B15" s="139">
        <v>30.66</v>
      </c>
      <c r="C15" s="139">
        <f t="shared" si="0"/>
        <v>4.6737477851689843E-2</v>
      </c>
      <c r="F15" s="140">
        <v>40452</v>
      </c>
      <c r="G15" s="141">
        <v>1183.26001</v>
      </c>
      <c r="H15" s="141">
        <f t="shared" si="1"/>
        <v>3.6193052099175581E-2</v>
      </c>
      <c r="K15" s="148" t="s">
        <v>170</v>
      </c>
      <c r="L15" s="149">
        <v>1</v>
      </c>
      <c r="M15" s="149">
        <v>5.6400303828936682E-2</v>
      </c>
      <c r="N15" s="149">
        <v>5.6400303828936682E-2</v>
      </c>
      <c r="O15" s="149">
        <v>27.836319216371724</v>
      </c>
      <c r="P15" s="149">
        <v>4.4414166297953823E-7</v>
      </c>
      <c r="Q15" s="149"/>
      <c r="R15" s="149"/>
      <c r="S15" s="151"/>
    </row>
    <row r="16" spans="1:19">
      <c r="A16" s="138">
        <v>40483</v>
      </c>
      <c r="B16" s="139">
        <v>31.584999</v>
      </c>
      <c r="C16" s="139">
        <f t="shared" si="0"/>
        <v>2.9723419246396685E-2</v>
      </c>
      <c r="F16" s="140">
        <v>40483</v>
      </c>
      <c r="G16" s="141">
        <v>1180.5500489999999</v>
      </c>
      <c r="H16" s="141">
        <f t="shared" si="1"/>
        <v>-2.2928764322112105E-3</v>
      </c>
      <c r="K16" s="148" t="s">
        <v>171</v>
      </c>
      <c r="L16" s="149">
        <v>153</v>
      </c>
      <c r="M16" s="149">
        <v>0.30999955197927481</v>
      </c>
      <c r="N16" s="149">
        <v>2.0261408626096392E-3</v>
      </c>
      <c r="O16" s="149"/>
      <c r="P16" s="149"/>
      <c r="Q16" s="149"/>
      <c r="R16" s="149"/>
      <c r="S16" s="151"/>
    </row>
    <row r="17" spans="1:19" ht="14.4" thickBot="1">
      <c r="A17" s="138">
        <v>40513</v>
      </c>
      <c r="B17" s="139">
        <v>32.884998000000003</v>
      </c>
      <c r="C17" s="139">
        <f t="shared" si="0"/>
        <v>4.033427324524555E-2</v>
      </c>
      <c r="F17" s="140">
        <v>40513</v>
      </c>
      <c r="G17" s="141">
        <v>1257.6400149999999</v>
      </c>
      <c r="H17" s="141">
        <f t="shared" si="1"/>
        <v>6.3256487642950596E-2</v>
      </c>
      <c r="K17" s="152" t="s">
        <v>172</v>
      </c>
      <c r="L17" s="153">
        <v>154</v>
      </c>
      <c r="M17" s="153">
        <v>0.36639985580821149</v>
      </c>
      <c r="N17" s="153"/>
      <c r="O17" s="153"/>
      <c r="P17" s="153"/>
      <c r="Q17" s="149"/>
      <c r="R17" s="149"/>
      <c r="S17" s="151"/>
    </row>
    <row r="18" spans="1:19" ht="14.4" thickBot="1">
      <c r="A18" s="138">
        <v>40544</v>
      </c>
      <c r="B18" s="139">
        <v>31.424999</v>
      </c>
      <c r="C18" s="139">
        <f t="shared" si="0"/>
        <v>-4.5412843280797775E-2</v>
      </c>
      <c r="F18" s="140">
        <v>40544</v>
      </c>
      <c r="G18" s="141">
        <v>1286.119995</v>
      </c>
      <c r="H18" s="141">
        <f t="shared" si="1"/>
        <v>2.2392969441753622E-2</v>
      </c>
      <c r="K18" s="148"/>
      <c r="L18" s="149"/>
      <c r="M18" s="149"/>
      <c r="N18" s="149"/>
      <c r="O18" s="149"/>
      <c r="P18" s="149"/>
      <c r="Q18" s="149"/>
      <c r="R18" s="149"/>
      <c r="S18" s="151"/>
    </row>
    <row r="19" spans="1:19" ht="14.4">
      <c r="A19" s="138">
        <v>40575</v>
      </c>
      <c r="B19" s="139">
        <v>31.959999</v>
      </c>
      <c r="C19" s="139">
        <f t="shared" si="0"/>
        <v>1.6881366954449448E-2</v>
      </c>
      <c r="F19" s="140">
        <v>40575</v>
      </c>
      <c r="G19" s="141">
        <v>1327.219971</v>
      </c>
      <c r="H19" s="141">
        <f t="shared" si="1"/>
        <v>3.1456577077623601E-2</v>
      </c>
      <c r="K19" s="154"/>
      <c r="L19" s="155" t="s">
        <v>179</v>
      </c>
      <c r="M19" s="155" t="s">
        <v>167</v>
      </c>
      <c r="N19" s="155" t="s">
        <v>180</v>
      </c>
      <c r="O19" s="155" t="s">
        <v>181</v>
      </c>
      <c r="P19" s="155" t="s">
        <v>182</v>
      </c>
      <c r="Q19" s="155" t="s">
        <v>183</v>
      </c>
      <c r="R19" s="155" t="s">
        <v>184</v>
      </c>
      <c r="S19" s="156" t="s">
        <v>185</v>
      </c>
    </row>
    <row r="20" spans="1:19">
      <c r="A20" s="138">
        <v>40603</v>
      </c>
      <c r="B20" s="139">
        <v>33.169998</v>
      </c>
      <c r="C20" s="139">
        <f t="shared" si="0"/>
        <v>3.7160703054549396E-2</v>
      </c>
      <c r="F20" s="140">
        <v>40603</v>
      </c>
      <c r="G20" s="141">
        <v>1325.829956</v>
      </c>
      <c r="H20" s="141">
        <f t="shared" si="1"/>
        <v>-1.0478620195134246E-3</v>
      </c>
      <c r="K20" s="148" t="s">
        <v>173</v>
      </c>
      <c r="L20" s="149">
        <v>1.7648812115126904E-3</v>
      </c>
      <c r="M20" s="149">
        <v>3.6861196536131214E-3</v>
      </c>
      <c r="N20" s="149">
        <v>0.47879108042050672</v>
      </c>
      <c r="O20" s="149">
        <v>0.63277079531951652</v>
      </c>
      <c r="P20" s="149">
        <v>-5.5173810761158879E-3</v>
      </c>
      <c r="Q20" s="149">
        <v>9.0471434991412688E-3</v>
      </c>
      <c r="R20" s="149">
        <v>-5.5173810761158879E-3</v>
      </c>
      <c r="S20" s="151">
        <v>9.0471434991412688E-3</v>
      </c>
    </row>
    <row r="21" spans="1:19">
      <c r="A21" s="138">
        <v>40634</v>
      </c>
      <c r="B21" s="139">
        <v>33.729999999999997</v>
      </c>
      <c r="C21" s="139">
        <f t="shared" si="0"/>
        <v>1.6741856410047357E-2</v>
      </c>
      <c r="F21" s="140">
        <v>40634</v>
      </c>
      <c r="G21" s="141">
        <v>1363.6099850000001</v>
      </c>
      <c r="H21" s="141">
        <f t="shared" si="1"/>
        <v>2.8096938553675548E-2</v>
      </c>
      <c r="K21" s="157" t="s">
        <v>186</v>
      </c>
      <c r="L21" s="158">
        <v>0.43288022993804787</v>
      </c>
      <c r="M21" s="158">
        <v>8.2046837824832006E-2</v>
      </c>
      <c r="N21" s="158">
        <v>5.2760135724211157</v>
      </c>
      <c r="O21" s="158">
        <v>4.4414166297951875E-7</v>
      </c>
      <c r="P21" s="158">
        <v>0.27078929175450361</v>
      </c>
      <c r="Q21" s="158">
        <v>0.59497116812159212</v>
      </c>
      <c r="R21" s="158">
        <v>0.27078929175450361</v>
      </c>
      <c r="S21" s="159">
        <v>0.59497116812159212</v>
      </c>
    </row>
    <row r="22" spans="1:19">
      <c r="A22" s="138">
        <v>40664</v>
      </c>
      <c r="B22" s="139">
        <v>33.404998999999997</v>
      </c>
      <c r="C22" s="139">
        <f t="shared" si="0"/>
        <v>-9.6820896317570404E-3</v>
      </c>
      <c r="F22" s="140">
        <v>40664</v>
      </c>
      <c r="G22" s="141">
        <v>1345.1999510000001</v>
      </c>
      <c r="H22" s="141">
        <f t="shared" si="1"/>
        <v>-1.3592919325235627E-2</v>
      </c>
    </row>
    <row r="23" spans="1:19">
      <c r="A23" s="138">
        <v>40695</v>
      </c>
      <c r="B23" s="139">
        <v>33.645000000000003</v>
      </c>
      <c r="C23" s="139">
        <f t="shared" si="0"/>
        <v>7.1588971984797266E-3</v>
      </c>
      <c r="F23" s="140">
        <v>40695</v>
      </c>
      <c r="G23" s="141">
        <v>1320.6400149999999</v>
      </c>
      <c r="H23" s="141">
        <f t="shared" si="1"/>
        <v>-1.8426185517957314E-2</v>
      </c>
    </row>
    <row r="24" spans="1:19">
      <c r="A24" s="138">
        <v>40725</v>
      </c>
      <c r="B24" s="139">
        <v>34.005001</v>
      </c>
      <c r="C24" s="139">
        <f t="shared" si="0"/>
        <v>1.064314539476017E-2</v>
      </c>
      <c r="F24" s="140">
        <v>40725</v>
      </c>
      <c r="G24" s="141">
        <v>1292.280029</v>
      </c>
      <c r="H24" s="141">
        <f t="shared" si="1"/>
        <v>-2.1708356352599566E-2</v>
      </c>
    </row>
    <row r="25" spans="1:19">
      <c r="A25" s="138">
        <v>40756</v>
      </c>
      <c r="B25" s="139">
        <v>35.224997999999999</v>
      </c>
      <c r="C25" s="139">
        <f t="shared" si="0"/>
        <v>3.5248398971843918E-2</v>
      </c>
      <c r="F25" s="140">
        <v>40756</v>
      </c>
      <c r="G25" s="141">
        <v>1218.8900149999999</v>
      </c>
      <c r="H25" s="141">
        <f t="shared" si="1"/>
        <v>-5.8467501753798806E-2</v>
      </c>
      <c r="J25" s="160" t="s">
        <v>191</v>
      </c>
      <c r="K25" s="161">
        <f>AVERAGE(H7:H161)*12</f>
        <v>0.10502108798875204</v>
      </c>
    </row>
    <row r="26" spans="1:19">
      <c r="A26" s="138">
        <v>40787</v>
      </c>
      <c r="B26" s="139">
        <v>33.779998999999997</v>
      </c>
      <c r="C26" s="139">
        <f t="shared" si="0"/>
        <v>-4.1887119230547748E-2</v>
      </c>
      <c r="F26" s="140">
        <v>40787</v>
      </c>
      <c r="G26" s="141">
        <v>1131.420044</v>
      </c>
      <c r="H26" s="141">
        <f t="shared" si="1"/>
        <v>-7.4467100959878879E-2</v>
      </c>
      <c r="J26" s="160" t="s">
        <v>218</v>
      </c>
      <c r="K26" s="161">
        <f>'Risk free rate'!M4</f>
        <v>3.857E-2</v>
      </c>
    </row>
    <row r="27" spans="1:19">
      <c r="A27" s="138">
        <v>40817</v>
      </c>
      <c r="B27" s="139">
        <v>34.159999999999997</v>
      </c>
      <c r="C27" s="139">
        <f t="shared" si="0"/>
        <v>1.1186487144031188E-2</v>
      </c>
      <c r="F27" s="140">
        <v>40817</v>
      </c>
      <c r="G27" s="141">
        <v>1253.3000489999999</v>
      </c>
      <c r="H27" s="141">
        <f t="shared" si="1"/>
        <v>0.10230659185819124</v>
      </c>
      <c r="K27" s="162"/>
    </row>
    <row r="28" spans="1:19">
      <c r="A28" s="138">
        <v>40848</v>
      </c>
      <c r="B28" s="139">
        <v>33.615001999999997</v>
      </c>
      <c r="C28" s="139">
        <f t="shared" si="0"/>
        <v>-1.6082913502122636E-2</v>
      </c>
      <c r="F28" s="140">
        <v>40848</v>
      </c>
      <c r="G28" s="141">
        <v>1246.959961</v>
      </c>
      <c r="H28" s="141">
        <f t="shared" si="1"/>
        <v>-5.0715538095285817E-3</v>
      </c>
    </row>
    <row r="29" spans="1:19">
      <c r="A29" s="138">
        <v>40878</v>
      </c>
      <c r="B29" s="139">
        <v>34.985000999999997</v>
      </c>
      <c r="C29" s="139">
        <f t="shared" si="0"/>
        <v>3.9946971363291894E-2</v>
      </c>
      <c r="F29" s="140">
        <v>40878</v>
      </c>
      <c r="G29" s="141">
        <v>1257.599976</v>
      </c>
      <c r="H29" s="141">
        <f t="shared" si="1"/>
        <v>8.4965656862407268E-3</v>
      </c>
    </row>
    <row r="30" spans="1:19">
      <c r="A30" s="138">
        <v>40909</v>
      </c>
      <c r="B30" s="139">
        <v>33.764999000000003</v>
      </c>
      <c r="C30" s="139">
        <f t="shared" si="0"/>
        <v>-3.5494693371200092E-2</v>
      </c>
      <c r="F30" s="140">
        <v>40909</v>
      </c>
      <c r="G30" s="141">
        <v>1312.410034</v>
      </c>
      <c r="H30" s="141">
        <f t="shared" si="1"/>
        <v>4.266004400164506E-2</v>
      </c>
    </row>
    <row r="31" spans="1:19">
      <c r="A31" s="138">
        <v>40940</v>
      </c>
      <c r="B31" s="139">
        <v>34.93</v>
      </c>
      <c r="C31" s="139">
        <f t="shared" si="0"/>
        <v>3.3921325408402501E-2</v>
      </c>
      <c r="F31" s="140">
        <v>40940</v>
      </c>
      <c r="G31" s="141">
        <v>1365.6800539999999</v>
      </c>
      <c r="H31" s="141">
        <f t="shared" si="1"/>
        <v>3.9787345020620563E-2</v>
      </c>
    </row>
    <row r="32" spans="1:19">
      <c r="A32" s="138">
        <v>40969</v>
      </c>
      <c r="B32" s="139">
        <v>37.005001</v>
      </c>
      <c r="C32" s="139">
        <f t="shared" si="0"/>
        <v>5.7707006854064061E-2</v>
      </c>
      <c r="F32" s="140">
        <v>40969</v>
      </c>
      <c r="G32" s="141">
        <v>1408.469971</v>
      </c>
      <c r="H32" s="141">
        <f t="shared" si="1"/>
        <v>3.0851475632112556E-2</v>
      </c>
    </row>
    <row r="33" spans="1:8">
      <c r="A33" s="138">
        <v>41000</v>
      </c>
      <c r="B33" s="139">
        <v>38.159999999999997</v>
      </c>
      <c r="C33" s="139">
        <f t="shared" si="0"/>
        <v>3.0734780907281226E-2</v>
      </c>
      <c r="F33" s="140">
        <v>41000</v>
      </c>
      <c r="G33" s="141">
        <v>1397.910034</v>
      </c>
      <c r="H33" s="141">
        <f t="shared" si="1"/>
        <v>-7.5256998843071772E-3</v>
      </c>
    </row>
    <row r="34" spans="1:8">
      <c r="A34" s="138">
        <v>41030</v>
      </c>
      <c r="B34" s="139">
        <v>37.365001999999997</v>
      </c>
      <c r="C34" s="139">
        <f t="shared" si="0"/>
        <v>-2.1053355671806741E-2</v>
      </c>
      <c r="F34" s="140">
        <v>41030</v>
      </c>
      <c r="G34" s="141">
        <v>1310.329956</v>
      </c>
      <c r="H34" s="141">
        <f t="shared" si="1"/>
        <v>-6.4699308071820338E-2</v>
      </c>
    </row>
    <row r="35" spans="1:8">
      <c r="A35" s="138">
        <v>41061</v>
      </c>
      <c r="B35" s="139">
        <v>39.095001000000003</v>
      </c>
      <c r="C35" s="139">
        <f t="shared" si="0"/>
        <v>4.5260116246916608E-2</v>
      </c>
      <c r="F35" s="140">
        <v>41061</v>
      </c>
      <c r="G35" s="141">
        <v>1362.160034</v>
      </c>
      <c r="H35" s="141">
        <f t="shared" si="1"/>
        <v>3.8792719783522139E-2</v>
      </c>
    </row>
    <row r="36" spans="1:8">
      <c r="A36" s="138">
        <v>41091</v>
      </c>
      <c r="B36" s="139">
        <v>40.400002000000001</v>
      </c>
      <c r="C36" s="139">
        <f t="shared" si="0"/>
        <v>3.2835227316858145E-2</v>
      </c>
      <c r="F36" s="140">
        <v>41091</v>
      </c>
      <c r="G36" s="141">
        <v>1379.3199460000001</v>
      </c>
      <c r="H36" s="141">
        <f t="shared" si="1"/>
        <v>1.2518884862627446E-2</v>
      </c>
    </row>
    <row r="37" spans="1:8">
      <c r="A37" s="138">
        <v>41122</v>
      </c>
      <c r="B37" s="139">
        <v>37.400002000000001</v>
      </c>
      <c r="C37" s="139">
        <f t="shared" si="0"/>
        <v>-7.7159076575632993E-2</v>
      </c>
      <c r="F37" s="140">
        <v>41122</v>
      </c>
      <c r="G37" s="141">
        <v>1406.579956</v>
      </c>
      <c r="H37" s="141">
        <f t="shared" si="1"/>
        <v>1.9570609872560242E-2</v>
      </c>
    </row>
    <row r="38" spans="1:8">
      <c r="A38" s="138">
        <v>41153</v>
      </c>
      <c r="B38" s="139">
        <v>37.93</v>
      </c>
      <c r="C38" s="139">
        <f t="shared" si="0"/>
        <v>1.4071597804386856E-2</v>
      </c>
      <c r="F38" s="140">
        <v>41153</v>
      </c>
      <c r="G38" s="141">
        <v>1440.670044</v>
      </c>
      <c r="H38" s="141">
        <f t="shared" si="1"/>
        <v>2.3947118873094017E-2</v>
      </c>
    </row>
    <row r="39" spans="1:8">
      <c r="A39" s="138">
        <v>41183</v>
      </c>
      <c r="B39" s="139">
        <v>37.18</v>
      </c>
      <c r="C39" s="139">
        <f t="shared" si="0"/>
        <v>-1.9971373407509586E-2</v>
      </c>
      <c r="F39" s="140">
        <v>41183</v>
      </c>
      <c r="G39" s="141">
        <v>1412.160034</v>
      </c>
      <c r="H39" s="141">
        <f t="shared" si="1"/>
        <v>-1.9987842523252936E-2</v>
      </c>
    </row>
    <row r="40" spans="1:8">
      <c r="A40" s="138">
        <v>41214</v>
      </c>
      <c r="B40" s="139">
        <v>37.919998</v>
      </c>
      <c r="C40" s="139">
        <f t="shared" si="0"/>
        <v>1.9707642350905705E-2</v>
      </c>
      <c r="F40" s="140">
        <v>41214</v>
      </c>
      <c r="G40" s="141">
        <v>1416.1800539999999</v>
      </c>
      <c r="H40" s="141">
        <f t="shared" si="1"/>
        <v>2.8426727918140823E-3</v>
      </c>
    </row>
    <row r="41" spans="1:8">
      <c r="A41" s="138">
        <v>41244</v>
      </c>
      <c r="B41" s="139">
        <v>36.25</v>
      </c>
      <c r="C41" s="139">
        <f t="shared" si="0"/>
        <v>-4.503924334351983E-2</v>
      </c>
      <c r="F41" s="140">
        <v>41244</v>
      </c>
      <c r="G41" s="141">
        <v>1426.1899410000001</v>
      </c>
      <c r="H41" s="141">
        <f t="shared" si="1"/>
        <v>7.0433676117494142E-3</v>
      </c>
    </row>
    <row r="42" spans="1:8">
      <c r="A42" s="163">
        <v>41395</v>
      </c>
      <c r="B42" s="164">
        <v>29.180996</v>
      </c>
      <c r="C42" s="139">
        <f t="shared" si="0"/>
        <v>-0.2169217058207745</v>
      </c>
      <c r="F42" s="165">
        <v>41395</v>
      </c>
      <c r="G42" s="166">
        <v>1630.74</v>
      </c>
      <c r="H42" s="141">
        <f t="shared" si="1"/>
        <v>0.13402738794828142</v>
      </c>
    </row>
    <row r="43" spans="1:8">
      <c r="A43" s="138">
        <v>41426</v>
      </c>
      <c r="B43" s="139">
        <v>29.26857</v>
      </c>
      <c r="C43" s="139">
        <f t="shared" si="0"/>
        <v>2.9965685469870635E-3</v>
      </c>
      <c r="F43" s="167">
        <v>41426</v>
      </c>
      <c r="G43" s="168">
        <v>1606.28</v>
      </c>
      <c r="H43" s="141">
        <f t="shared" si="1"/>
        <v>-1.5112952997701294E-2</v>
      </c>
    </row>
    <row r="44" spans="1:8">
      <c r="A44" s="163">
        <v>41456</v>
      </c>
      <c r="B44" s="164">
        <v>29.448831999999999</v>
      </c>
      <c r="C44" s="139">
        <f t="shared" si="0"/>
        <v>6.140004842777067E-3</v>
      </c>
      <c r="F44" s="165">
        <v>41456</v>
      </c>
      <c r="G44" s="166">
        <v>1685.73</v>
      </c>
      <c r="H44" s="141">
        <f t="shared" si="1"/>
        <v>4.8277757876973679E-2</v>
      </c>
    </row>
    <row r="45" spans="1:8">
      <c r="A45" s="138">
        <v>41487</v>
      </c>
      <c r="B45" s="139">
        <v>28.052792</v>
      </c>
      <c r="C45" s="139">
        <f t="shared" si="0"/>
        <v>-4.8566085312511484E-2</v>
      </c>
      <c r="F45" s="167">
        <v>41487</v>
      </c>
      <c r="G45" s="168">
        <v>1632.97</v>
      </c>
      <c r="H45" s="141">
        <f t="shared" si="1"/>
        <v>-3.179826168331884E-2</v>
      </c>
    </row>
    <row r="46" spans="1:8">
      <c r="A46" s="163">
        <v>41518</v>
      </c>
      <c r="B46" s="164">
        <v>27.832380000000001</v>
      </c>
      <c r="C46" s="139">
        <f t="shared" si="0"/>
        <v>-7.8880724520637123E-3</v>
      </c>
      <c r="F46" s="165">
        <v>41518</v>
      </c>
      <c r="G46" s="166">
        <v>1681.55</v>
      </c>
      <c r="H46" s="141">
        <f t="shared" si="1"/>
        <v>2.9315544388002535E-2</v>
      </c>
    </row>
    <row r="47" spans="1:8">
      <c r="A47" s="138">
        <v>41548</v>
      </c>
      <c r="B47" s="139">
        <v>29.285551000000002</v>
      </c>
      <c r="C47" s="139">
        <f t="shared" si="0"/>
        <v>5.0894163352696788E-2</v>
      </c>
      <c r="F47" s="167">
        <v>41548</v>
      </c>
      <c r="G47" s="168">
        <v>1756.54</v>
      </c>
      <c r="H47" s="141">
        <f t="shared" si="1"/>
        <v>4.3629977912082465E-2</v>
      </c>
    </row>
    <row r="48" spans="1:8">
      <c r="A48" s="163">
        <v>41579</v>
      </c>
      <c r="B48" s="164">
        <v>29.744413000000002</v>
      </c>
      <c r="C48" s="139">
        <f t="shared" si="0"/>
        <v>1.5547061578203651E-2</v>
      </c>
      <c r="F48" s="165">
        <v>41579</v>
      </c>
      <c r="G48" s="166">
        <v>1805.81</v>
      </c>
      <c r="H48" s="141">
        <f t="shared" si="1"/>
        <v>2.7663279564206007E-2</v>
      </c>
    </row>
    <row r="49" spans="1:8">
      <c r="A49" s="138">
        <v>41609</v>
      </c>
      <c r="B49" s="139">
        <v>30.787496999999998</v>
      </c>
      <c r="C49" s="139">
        <f t="shared" si="0"/>
        <v>3.4467349968509177E-2</v>
      </c>
      <c r="F49" s="167">
        <v>41609</v>
      </c>
      <c r="G49" s="168">
        <v>1848.36</v>
      </c>
      <c r="H49" s="141">
        <f t="shared" si="1"/>
        <v>2.328951485450324E-2</v>
      </c>
    </row>
    <row r="50" spans="1:8">
      <c r="A50" s="163">
        <v>41640</v>
      </c>
      <c r="B50" s="164">
        <v>28.186465999999999</v>
      </c>
      <c r="C50" s="139">
        <f t="shared" si="0"/>
        <v>-8.8266732341274967E-2</v>
      </c>
      <c r="F50" s="165">
        <v>41640</v>
      </c>
      <c r="G50" s="166">
        <v>1782.59</v>
      </c>
      <c r="H50" s="141">
        <f t="shared" si="1"/>
        <v>-3.6231396526946812E-2</v>
      </c>
    </row>
    <row r="51" spans="1:8">
      <c r="A51" s="138">
        <v>41671</v>
      </c>
      <c r="B51" s="139">
        <v>28.469677000000001</v>
      </c>
      <c r="C51" s="139">
        <f t="shared" si="0"/>
        <v>9.9976222866265292E-3</v>
      </c>
      <c r="F51" s="167">
        <v>41671</v>
      </c>
      <c r="G51" s="168">
        <v>1859.45</v>
      </c>
      <c r="H51" s="141">
        <f t="shared" si="1"/>
        <v>4.2213382157548759E-2</v>
      </c>
    </row>
    <row r="52" spans="1:8">
      <c r="A52" s="163">
        <v>41699</v>
      </c>
      <c r="B52" s="164">
        <v>28.812505999999999</v>
      </c>
      <c r="C52" s="139">
        <f t="shared" si="0"/>
        <v>1.1969973049936473E-2</v>
      </c>
      <c r="F52" s="165">
        <v>41699</v>
      </c>
      <c r="G52" s="166">
        <v>1872.34</v>
      </c>
      <c r="H52" s="141">
        <f t="shared" si="1"/>
        <v>6.9082404225633224E-3</v>
      </c>
    </row>
    <row r="53" spans="1:8">
      <c r="A53" s="138">
        <v>41730</v>
      </c>
      <c r="B53" s="139">
        <v>30.640802000000001</v>
      </c>
      <c r="C53" s="139">
        <f t="shared" si="0"/>
        <v>6.1522990464763019E-2</v>
      </c>
      <c r="F53" s="167">
        <v>41730</v>
      </c>
      <c r="G53" s="168">
        <v>1883.95</v>
      </c>
      <c r="H53" s="141">
        <f t="shared" si="1"/>
        <v>6.1816510284721333E-3</v>
      </c>
    </row>
    <row r="54" spans="1:8">
      <c r="A54" s="163">
        <v>41760</v>
      </c>
      <c r="B54" s="164">
        <v>30.730934000000001</v>
      </c>
      <c r="C54" s="139">
        <f t="shared" si="0"/>
        <v>2.9372499679876192E-3</v>
      </c>
      <c r="F54" s="165">
        <v>41760</v>
      </c>
      <c r="G54" s="166">
        <v>1923.57</v>
      </c>
      <c r="H54" s="141">
        <f t="shared" si="1"/>
        <v>2.0812198017934665E-2</v>
      </c>
    </row>
    <row r="55" spans="1:8">
      <c r="A55" s="138">
        <v>41791</v>
      </c>
      <c r="B55" s="139">
        <v>31.820166</v>
      </c>
      <c r="C55" s="139">
        <f t="shared" si="0"/>
        <v>3.4830470308238347E-2</v>
      </c>
      <c r="F55" s="167">
        <v>41791</v>
      </c>
      <c r="G55" s="168">
        <v>1960.23</v>
      </c>
      <c r="H55" s="141">
        <f t="shared" si="1"/>
        <v>1.8878978754786419E-2</v>
      </c>
    </row>
    <row r="56" spans="1:8">
      <c r="A56" s="163">
        <v>41821</v>
      </c>
      <c r="B56" s="164">
        <v>29.735996</v>
      </c>
      <c r="C56" s="139">
        <f t="shared" si="0"/>
        <v>-6.7741941262926555E-2</v>
      </c>
      <c r="F56" s="165">
        <v>41821</v>
      </c>
      <c r="G56" s="166">
        <v>1930.67</v>
      </c>
      <c r="H56" s="141">
        <f t="shared" si="1"/>
        <v>-1.5194720363435775E-2</v>
      </c>
    </row>
    <row r="57" spans="1:8">
      <c r="A57" s="138">
        <v>41852</v>
      </c>
      <c r="B57" s="139">
        <v>31.575111</v>
      </c>
      <c r="C57" s="139">
        <f t="shared" si="0"/>
        <v>6.0010885191947243E-2</v>
      </c>
      <c r="F57" s="167">
        <v>41852</v>
      </c>
      <c r="G57" s="168">
        <v>2003.37</v>
      </c>
      <c r="H57" s="141">
        <f t="shared" si="1"/>
        <v>3.6963669606978507E-2</v>
      </c>
    </row>
    <row r="58" spans="1:8">
      <c r="A58" s="163">
        <v>41883</v>
      </c>
      <c r="B58" s="164">
        <v>32.286526000000002</v>
      </c>
      <c r="C58" s="139">
        <f t="shared" si="0"/>
        <v>2.2280807824042834E-2</v>
      </c>
      <c r="F58" s="165">
        <v>41883</v>
      </c>
      <c r="G58" s="166">
        <v>1972.29</v>
      </c>
      <c r="H58" s="141">
        <f t="shared" si="1"/>
        <v>-1.563545834824645E-2</v>
      </c>
    </row>
    <row r="59" spans="1:8">
      <c r="A59" s="138">
        <v>41913</v>
      </c>
      <c r="B59" s="139">
        <v>31.927118</v>
      </c>
      <c r="C59" s="139">
        <f t="shared" si="0"/>
        <v>-1.1194248784458341E-2</v>
      </c>
      <c r="F59" s="167">
        <v>41913</v>
      </c>
      <c r="G59" s="168">
        <v>2018.05</v>
      </c>
      <c r="H59" s="141">
        <f t="shared" si="1"/>
        <v>2.2936394439525502E-2</v>
      </c>
    </row>
    <row r="60" spans="1:8">
      <c r="A60" s="163">
        <v>41944</v>
      </c>
      <c r="B60" s="164">
        <v>34.176040999999998</v>
      </c>
      <c r="C60" s="139">
        <f t="shared" si="0"/>
        <v>6.806910029990447E-2</v>
      </c>
      <c r="F60" s="165">
        <v>41944</v>
      </c>
      <c r="G60" s="166">
        <v>2067.56</v>
      </c>
      <c r="H60" s="141">
        <f t="shared" si="1"/>
        <v>2.4237469419438731E-2</v>
      </c>
    </row>
    <row r="61" spans="1:8">
      <c r="A61" s="138">
        <v>41974</v>
      </c>
      <c r="B61" s="139">
        <v>32.408791000000001</v>
      </c>
      <c r="C61" s="139">
        <f t="shared" si="0"/>
        <v>-5.3095129853074192E-2</v>
      </c>
      <c r="F61" s="167">
        <v>41974</v>
      </c>
      <c r="G61" s="168">
        <v>2058.9</v>
      </c>
      <c r="H61" s="141">
        <f t="shared" si="1"/>
        <v>-4.1973084502868246E-3</v>
      </c>
    </row>
    <row r="62" spans="1:8">
      <c r="A62" s="163">
        <v>42005</v>
      </c>
      <c r="B62" s="164">
        <v>31.602795</v>
      </c>
      <c r="C62" s="139">
        <f t="shared" si="0"/>
        <v>-2.5184147107679997E-2</v>
      </c>
      <c r="F62" s="165">
        <v>42005</v>
      </c>
      <c r="G62" s="166">
        <v>1994.99</v>
      </c>
      <c r="H62" s="141">
        <f t="shared" si="1"/>
        <v>-3.1532821802626031E-2</v>
      </c>
    </row>
    <row r="63" spans="1:8">
      <c r="A63" s="138">
        <v>42036</v>
      </c>
      <c r="B63" s="139">
        <v>33.237816000000002</v>
      </c>
      <c r="C63" s="139">
        <f t="shared" si="0"/>
        <v>5.0442697808987573E-2</v>
      </c>
      <c r="F63" s="167">
        <v>42036</v>
      </c>
      <c r="G63" s="168">
        <v>2104.5</v>
      </c>
      <c r="H63" s="141">
        <f t="shared" si="1"/>
        <v>5.3438871430552516E-2</v>
      </c>
    </row>
    <row r="64" spans="1:8">
      <c r="A64" s="163">
        <v>42064</v>
      </c>
      <c r="B64" s="164">
        <v>31.126860000000001</v>
      </c>
      <c r="C64" s="139">
        <f t="shared" si="0"/>
        <v>-6.5617151822011693E-2</v>
      </c>
      <c r="F64" s="165">
        <v>42064</v>
      </c>
      <c r="G64" s="166">
        <v>2067.89</v>
      </c>
      <c r="H64" s="141">
        <f t="shared" si="1"/>
        <v>-1.7549145486384792E-2</v>
      </c>
    </row>
    <row r="65" spans="1:8">
      <c r="A65" s="138">
        <v>42095</v>
      </c>
      <c r="B65" s="139">
        <v>31.392894999999999</v>
      </c>
      <c r="C65" s="139">
        <f t="shared" si="0"/>
        <v>8.5104813895431116E-3</v>
      </c>
      <c r="F65" s="167">
        <v>42095</v>
      </c>
      <c r="G65" s="168">
        <v>2085.5100000000002</v>
      </c>
      <c r="H65" s="141">
        <f t="shared" si="1"/>
        <v>8.4846659144496416E-3</v>
      </c>
    </row>
    <row r="66" spans="1:8">
      <c r="A66" s="163">
        <v>42125</v>
      </c>
      <c r="B66" s="164">
        <v>31.702476999999998</v>
      </c>
      <c r="C66" s="139">
        <f t="shared" si="0"/>
        <v>9.8132232067602455E-3</v>
      </c>
      <c r="F66" s="165">
        <v>42125</v>
      </c>
      <c r="G66" s="166">
        <v>2107.39</v>
      </c>
      <c r="H66" s="141">
        <f t="shared" si="1"/>
        <v>1.0436785331839957E-2</v>
      </c>
    </row>
    <row r="67" spans="1:8">
      <c r="A67" s="138">
        <v>42156</v>
      </c>
      <c r="B67" s="139">
        <v>30.363482999999999</v>
      </c>
      <c r="C67" s="139">
        <f t="shared" si="0"/>
        <v>-4.3154147364449232E-2</v>
      </c>
      <c r="F67" s="167">
        <v>42156</v>
      </c>
      <c r="G67" s="168">
        <v>2063.11</v>
      </c>
      <c r="H67" s="141">
        <f t="shared" si="1"/>
        <v>-2.1235661913586588E-2</v>
      </c>
    </row>
    <row r="68" spans="1:8">
      <c r="A68" s="163">
        <v>42186</v>
      </c>
      <c r="B68" s="164">
        <v>32.057667000000002</v>
      </c>
      <c r="C68" s="139">
        <f t="shared" si="0"/>
        <v>5.4295705459573143E-2</v>
      </c>
      <c r="F68" s="165">
        <v>42186</v>
      </c>
      <c r="G68" s="166">
        <v>2103.84</v>
      </c>
      <c r="H68" s="141">
        <f t="shared" si="1"/>
        <v>1.9549693281665254E-2</v>
      </c>
    </row>
    <row r="69" spans="1:8">
      <c r="A69" s="138">
        <v>42217</v>
      </c>
      <c r="B69" s="139">
        <v>30.684227</v>
      </c>
      <c r="C69" s="139">
        <f t="shared" si="0"/>
        <v>-4.3787630664819589E-2</v>
      </c>
      <c r="F69" s="167">
        <v>42217</v>
      </c>
      <c r="G69" s="168">
        <v>1972.18</v>
      </c>
      <c r="H69" s="141">
        <f t="shared" si="1"/>
        <v>-6.4624716451134656E-2</v>
      </c>
    </row>
    <row r="70" spans="1:8">
      <c r="A70" s="163">
        <v>42248</v>
      </c>
      <c r="B70" s="164">
        <v>31.308520999999999</v>
      </c>
      <c r="C70" s="139">
        <f t="shared" si="0"/>
        <v>2.0141552856098265E-2</v>
      </c>
      <c r="F70" s="165">
        <v>42248</v>
      </c>
      <c r="G70" s="166">
        <v>1920.03</v>
      </c>
      <c r="H70" s="141">
        <f t="shared" si="1"/>
        <v>-2.6798718987715901E-2</v>
      </c>
    </row>
    <row r="71" spans="1:8">
      <c r="A71" s="138">
        <v>42278</v>
      </c>
      <c r="B71" s="139">
        <v>33.335064000000003</v>
      </c>
      <c r="C71" s="139">
        <f t="shared" si="0"/>
        <v>6.2719519053963169E-2</v>
      </c>
      <c r="F71" s="167">
        <v>42278</v>
      </c>
      <c r="G71" s="168">
        <v>2079.36</v>
      </c>
      <c r="H71" s="141">
        <f t="shared" si="1"/>
        <v>7.9719343140922758E-2</v>
      </c>
    </row>
    <row r="72" spans="1:8">
      <c r="A72" s="163">
        <v>42309</v>
      </c>
      <c r="B72" s="164">
        <v>33.547600000000003</v>
      </c>
      <c r="C72" s="139">
        <f t="shared" ref="C72:C135" si="2">LN(B72/B71)</f>
        <v>6.355509864399189E-3</v>
      </c>
      <c r="F72" s="165">
        <v>42309</v>
      </c>
      <c r="G72" s="166">
        <v>2080.41</v>
      </c>
      <c r="H72" s="141">
        <f t="shared" ref="H72:H135" si="3">LN(G72/G71)</f>
        <v>5.0483561461322503E-4</v>
      </c>
    </row>
    <row r="73" spans="1:8">
      <c r="A73" s="138">
        <v>42339</v>
      </c>
      <c r="B73" s="139">
        <v>34.074551</v>
      </c>
      <c r="C73" s="139">
        <f t="shared" si="2"/>
        <v>1.5585474843349399E-2</v>
      </c>
      <c r="F73" s="167">
        <v>42339</v>
      </c>
      <c r="G73" s="168">
        <v>2043.94</v>
      </c>
      <c r="H73" s="141">
        <f t="shared" si="3"/>
        <v>-1.7685671969978563E-2</v>
      </c>
    </row>
    <row r="74" spans="1:8">
      <c r="A74" s="163">
        <v>42370</v>
      </c>
      <c r="B74" s="164">
        <v>34.042816000000002</v>
      </c>
      <c r="C74" s="139">
        <f t="shared" si="2"/>
        <v>-9.3177419191884617E-4</v>
      </c>
      <c r="F74" s="165">
        <v>42370</v>
      </c>
      <c r="G74" s="166">
        <v>1940.24</v>
      </c>
      <c r="H74" s="141">
        <f t="shared" si="3"/>
        <v>-5.2067640939352233E-2</v>
      </c>
    </row>
    <row r="75" spans="1:8">
      <c r="A75" s="138">
        <v>42401</v>
      </c>
      <c r="B75" s="139">
        <v>34.209389000000002</v>
      </c>
      <c r="C75" s="139">
        <f t="shared" si="2"/>
        <v>4.8811120672283036E-3</v>
      </c>
      <c r="F75" s="167">
        <v>42401</v>
      </c>
      <c r="G75" s="168">
        <v>1932.23</v>
      </c>
      <c r="H75" s="141">
        <f t="shared" si="3"/>
        <v>-4.1369004400577192E-3</v>
      </c>
    </row>
    <row r="76" spans="1:8">
      <c r="A76" s="163">
        <v>42430</v>
      </c>
      <c r="B76" s="164">
        <v>36.795119999999997</v>
      </c>
      <c r="C76" s="139">
        <f t="shared" si="2"/>
        <v>7.2865089130679322E-2</v>
      </c>
      <c r="F76" s="165">
        <v>42430</v>
      </c>
      <c r="G76" s="166">
        <v>2059.7399999999998</v>
      </c>
      <c r="H76" s="141">
        <f t="shared" si="3"/>
        <v>6.3904984919882377E-2</v>
      </c>
    </row>
    <row r="77" spans="1:8">
      <c r="A77" s="138">
        <v>42461</v>
      </c>
      <c r="B77" s="139">
        <v>35.811089000000003</v>
      </c>
      <c r="C77" s="139">
        <f t="shared" si="2"/>
        <v>-2.710763363811065E-2</v>
      </c>
      <c r="F77" s="167">
        <v>42461</v>
      </c>
      <c r="G77" s="168">
        <v>2065.3000000000002</v>
      </c>
      <c r="H77" s="141">
        <f t="shared" si="3"/>
        <v>2.6957330678163125E-3</v>
      </c>
    </row>
    <row r="78" spans="1:8">
      <c r="A78" s="163">
        <v>42491</v>
      </c>
      <c r="B78" s="164">
        <v>35.651218</v>
      </c>
      <c r="C78" s="139">
        <f t="shared" si="2"/>
        <v>-4.4742822732380767E-3</v>
      </c>
      <c r="F78" s="165">
        <v>42491</v>
      </c>
      <c r="G78" s="166">
        <v>2096.96</v>
      </c>
      <c r="H78" s="141">
        <f t="shared" si="3"/>
        <v>1.5213182557527833E-2</v>
      </c>
    </row>
    <row r="79" spans="1:8">
      <c r="A79" s="138">
        <v>42522</v>
      </c>
      <c r="B79" s="139">
        <v>36.234749000000001</v>
      </c>
      <c r="C79" s="139">
        <f t="shared" si="2"/>
        <v>1.6235263758401435E-2</v>
      </c>
      <c r="F79" s="167">
        <v>42522</v>
      </c>
      <c r="G79" s="168">
        <v>2098.86</v>
      </c>
      <c r="H79" s="141">
        <f t="shared" si="3"/>
        <v>9.056633172390907E-4</v>
      </c>
    </row>
    <row r="80" spans="1:8">
      <c r="A80" s="163">
        <v>42552</v>
      </c>
      <c r="B80" s="164">
        <v>35.143318000000001</v>
      </c>
      <c r="C80" s="139">
        <f t="shared" si="2"/>
        <v>-3.058407492077294E-2</v>
      </c>
      <c r="F80" s="165">
        <v>42552</v>
      </c>
      <c r="G80" s="166">
        <v>2173.6</v>
      </c>
      <c r="H80" s="141">
        <f t="shared" si="3"/>
        <v>3.4990438943766668E-2</v>
      </c>
    </row>
    <row r="81" spans="1:8">
      <c r="A81" s="138">
        <v>42583</v>
      </c>
      <c r="B81" s="139">
        <v>34.982204000000003</v>
      </c>
      <c r="C81" s="139">
        <f t="shared" si="2"/>
        <v>-4.5950255738124194E-3</v>
      </c>
      <c r="F81" s="167">
        <v>42583</v>
      </c>
      <c r="G81" s="168">
        <v>2170.9499999999998</v>
      </c>
      <c r="H81" s="141">
        <f t="shared" si="3"/>
        <v>-1.2199193604147071E-3</v>
      </c>
    </row>
    <row r="82" spans="1:8">
      <c r="A82" s="163">
        <v>42614</v>
      </c>
      <c r="B82" s="164">
        <v>34.088107999999998</v>
      </c>
      <c r="C82" s="139">
        <f t="shared" si="2"/>
        <v>-2.5890890575438939E-2</v>
      </c>
      <c r="F82" s="165">
        <v>42614</v>
      </c>
      <c r="G82" s="166">
        <v>2168.27</v>
      </c>
      <c r="H82" s="141">
        <f t="shared" si="3"/>
        <v>-1.2352452011046586E-3</v>
      </c>
    </row>
    <row r="83" spans="1:8">
      <c r="A83" s="138">
        <v>42644</v>
      </c>
      <c r="B83" s="139">
        <v>34.431587</v>
      </c>
      <c r="C83" s="139">
        <f t="shared" si="2"/>
        <v>1.0025785348297974E-2</v>
      </c>
      <c r="F83" s="167">
        <v>42644</v>
      </c>
      <c r="G83" s="168">
        <v>2126.15</v>
      </c>
      <c r="H83" s="141">
        <f t="shared" si="3"/>
        <v>-1.9616782104688858E-2</v>
      </c>
    </row>
    <row r="84" spans="1:8">
      <c r="A84" s="163">
        <v>42675</v>
      </c>
      <c r="B84" s="164">
        <v>32.766849999999998</v>
      </c>
      <c r="C84" s="139">
        <f t="shared" si="2"/>
        <v>-4.9557036224901589E-2</v>
      </c>
      <c r="F84" s="165">
        <v>42675</v>
      </c>
      <c r="G84" s="166">
        <v>2198.81</v>
      </c>
      <c r="H84" s="141">
        <f t="shared" si="3"/>
        <v>3.3603472465471074E-2</v>
      </c>
    </row>
    <row r="85" spans="1:8">
      <c r="A85" s="138">
        <v>42705</v>
      </c>
      <c r="B85" s="139">
        <v>33.952869</v>
      </c>
      <c r="C85" s="139">
        <f t="shared" si="2"/>
        <v>3.5556023475267214E-2</v>
      </c>
      <c r="F85" s="167">
        <v>42705</v>
      </c>
      <c r="G85" s="168">
        <v>2238.83</v>
      </c>
      <c r="H85" s="141">
        <f t="shared" si="3"/>
        <v>1.8037103051757427E-2</v>
      </c>
    </row>
    <row r="86" spans="1:8">
      <c r="A86" s="163">
        <v>42736</v>
      </c>
      <c r="B86" s="164">
        <v>34.042960999999998</v>
      </c>
      <c r="C86" s="139">
        <f t="shared" si="2"/>
        <v>2.6499287594473181E-3</v>
      </c>
      <c r="F86" s="165">
        <v>42736</v>
      </c>
      <c r="G86" s="166">
        <v>2278.87</v>
      </c>
      <c r="H86" s="141">
        <f t="shared" si="3"/>
        <v>1.772629809300964E-2</v>
      </c>
    </row>
    <row r="87" spans="1:8">
      <c r="A87" s="138">
        <v>42767</v>
      </c>
      <c r="B87" s="139">
        <v>34.362338999999999</v>
      </c>
      <c r="C87" s="139">
        <f t="shared" si="2"/>
        <v>9.3378823192022311E-3</v>
      </c>
      <c r="F87" s="167">
        <v>42767</v>
      </c>
      <c r="G87" s="168">
        <v>2363.64</v>
      </c>
      <c r="H87" s="141">
        <f t="shared" si="3"/>
        <v>3.6523097609435645E-2</v>
      </c>
    </row>
    <row r="88" spans="1:8">
      <c r="A88" s="163">
        <v>42795</v>
      </c>
      <c r="B88" s="164">
        <v>34.755423999999998</v>
      </c>
      <c r="C88" s="139">
        <f t="shared" si="2"/>
        <v>1.137447802126821E-2</v>
      </c>
      <c r="F88" s="165">
        <v>42795</v>
      </c>
      <c r="G88" s="166">
        <v>2362.7199999999998</v>
      </c>
      <c r="H88" s="141">
        <f t="shared" si="3"/>
        <v>-3.8930594013980509E-4</v>
      </c>
    </row>
    <row r="89" spans="1:8">
      <c r="A89" s="138">
        <v>42826</v>
      </c>
      <c r="B89" s="139">
        <v>35.648769000000001</v>
      </c>
      <c r="C89" s="139">
        <f t="shared" si="2"/>
        <v>2.5378969948315434E-2</v>
      </c>
      <c r="F89" s="167">
        <v>42826</v>
      </c>
      <c r="G89" s="168">
        <v>2384.1999999999998</v>
      </c>
      <c r="H89" s="141">
        <f t="shared" si="3"/>
        <v>9.0501405584374091E-3</v>
      </c>
    </row>
    <row r="90" spans="1:8">
      <c r="A90" s="163">
        <v>42856</v>
      </c>
      <c r="B90" s="164">
        <v>37.565452999999998</v>
      </c>
      <c r="C90" s="139">
        <f t="shared" si="2"/>
        <v>5.2370208736129922E-2</v>
      </c>
      <c r="F90" s="165">
        <v>42856</v>
      </c>
      <c r="G90" s="166">
        <v>2411.8000000000002</v>
      </c>
      <c r="H90" s="141">
        <f t="shared" si="3"/>
        <v>1.1509718385591177E-2</v>
      </c>
    </row>
    <row r="91" spans="1:8">
      <c r="A91" s="138">
        <v>42887</v>
      </c>
      <c r="B91" s="139">
        <v>37.053229999999999</v>
      </c>
      <c r="C91" s="139">
        <f t="shared" si="2"/>
        <v>-1.3729297416613015E-2</v>
      </c>
      <c r="F91" s="167">
        <v>42887</v>
      </c>
      <c r="G91" s="168">
        <v>2423.41</v>
      </c>
      <c r="H91" s="141">
        <f t="shared" si="3"/>
        <v>4.802282553352028E-3</v>
      </c>
    </row>
    <row r="92" spans="1:8">
      <c r="A92" s="163">
        <v>42917</v>
      </c>
      <c r="B92" s="164">
        <v>38.182789</v>
      </c>
      <c r="C92" s="139">
        <f t="shared" si="2"/>
        <v>3.0029336916914912E-2</v>
      </c>
      <c r="F92" s="165">
        <v>42917</v>
      </c>
      <c r="G92" s="166">
        <v>2470.3000000000002</v>
      </c>
      <c r="H92" s="141">
        <f t="shared" si="3"/>
        <v>1.9163961513693484E-2</v>
      </c>
    </row>
    <row r="93" spans="1:8">
      <c r="A93" s="138">
        <v>42948</v>
      </c>
      <c r="B93" s="139">
        <v>37.941237999999998</v>
      </c>
      <c r="C93" s="139">
        <f t="shared" si="2"/>
        <v>-6.3462699026117265E-3</v>
      </c>
      <c r="F93" s="167">
        <v>42948</v>
      </c>
      <c r="G93" s="168">
        <v>2471.65</v>
      </c>
      <c r="H93" s="141">
        <f t="shared" si="3"/>
        <v>5.4634305631591474E-4</v>
      </c>
    </row>
    <row r="94" spans="1:8">
      <c r="A94" s="163">
        <v>42979</v>
      </c>
      <c r="B94" s="164">
        <v>37.491436</v>
      </c>
      <c r="C94" s="139">
        <f t="shared" si="2"/>
        <v>-1.1926060881796572E-2</v>
      </c>
      <c r="F94" s="165">
        <v>42979</v>
      </c>
      <c r="G94" s="166">
        <v>2519.36</v>
      </c>
      <c r="H94" s="141">
        <f t="shared" si="3"/>
        <v>1.9118957203248872E-2</v>
      </c>
    </row>
    <row r="95" spans="1:8">
      <c r="A95" s="138">
        <v>43009</v>
      </c>
      <c r="B95" s="139">
        <v>38.604152999999997</v>
      </c>
      <c r="C95" s="139">
        <f t="shared" si="2"/>
        <v>2.9247327795027526E-2</v>
      </c>
      <c r="F95" s="167">
        <v>43009</v>
      </c>
      <c r="G95" s="168">
        <v>2575.2600000000002</v>
      </c>
      <c r="H95" s="141">
        <f t="shared" si="3"/>
        <v>2.1945598878305109E-2</v>
      </c>
    </row>
    <row r="96" spans="1:8">
      <c r="A96" s="163">
        <v>43040</v>
      </c>
      <c r="B96" s="164">
        <v>38.427849000000002</v>
      </c>
      <c r="C96" s="139">
        <f t="shared" si="2"/>
        <v>-4.5774302435868022E-3</v>
      </c>
      <c r="F96" s="165">
        <v>43040</v>
      </c>
      <c r="G96" s="166">
        <v>2647.58</v>
      </c>
      <c r="H96" s="141">
        <f t="shared" si="3"/>
        <v>2.7695515330648682E-2</v>
      </c>
    </row>
    <row r="97" spans="1:8">
      <c r="A97" s="138">
        <v>43070</v>
      </c>
      <c r="B97" s="139">
        <v>38.836005999999998</v>
      </c>
      <c r="C97" s="139">
        <f t="shared" si="2"/>
        <v>1.0565374890403115E-2</v>
      </c>
      <c r="F97" s="167">
        <v>43070</v>
      </c>
      <c r="G97" s="168">
        <v>2673.61</v>
      </c>
      <c r="H97" s="141">
        <f t="shared" si="3"/>
        <v>9.783603904362663E-3</v>
      </c>
    </row>
    <row r="98" spans="1:8">
      <c r="A98" s="163">
        <v>43101</v>
      </c>
      <c r="B98" s="164">
        <v>40.283462999999998</v>
      </c>
      <c r="C98" s="139">
        <f t="shared" si="2"/>
        <v>3.6593231338849994E-2</v>
      </c>
      <c r="F98" s="165">
        <v>43101</v>
      </c>
      <c r="G98" s="166">
        <v>2823.81</v>
      </c>
      <c r="H98" s="141">
        <f t="shared" si="3"/>
        <v>5.4657417787024952E-2</v>
      </c>
    </row>
    <row r="99" spans="1:8">
      <c r="A99" s="138">
        <v>43132</v>
      </c>
      <c r="B99" s="139">
        <v>36.584403999999999</v>
      </c>
      <c r="C99" s="139">
        <f t="shared" si="2"/>
        <v>-9.6319007968843698E-2</v>
      </c>
      <c r="F99" s="167">
        <v>43132</v>
      </c>
      <c r="G99" s="168">
        <v>2713.83</v>
      </c>
      <c r="H99" s="141">
        <f t="shared" si="3"/>
        <v>-3.9726115635920697E-2</v>
      </c>
    </row>
    <row r="100" spans="1:8">
      <c r="A100" s="163">
        <v>43160</v>
      </c>
      <c r="B100" s="164">
        <v>36.762157000000002</v>
      </c>
      <c r="C100" s="139">
        <f t="shared" si="2"/>
        <v>4.8469443030563844E-3</v>
      </c>
      <c r="F100" s="165">
        <v>43160</v>
      </c>
      <c r="G100" s="166">
        <v>2640.87</v>
      </c>
      <c r="H100" s="141">
        <f t="shared" si="3"/>
        <v>-2.725251295379243E-2</v>
      </c>
    </row>
    <row r="101" spans="1:8">
      <c r="A101" s="138">
        <v>43191</v>
      </c>
      <c r="B101" s="139">
        <v>36.898808000000002</v>
      </c>
      <c r="C101" s="139">
        <f t="shared" si="2"/>
        <v>3.7102733248987321E-3</v>
      </c>
      <c r="F101" s="167">
        <v>43191</v>
      </c>
      <c r="G101" s="168">
        <v>2648.05</v>
      </c>
      <c r="H101" s="141">
        <f t="shared" si="3"/>
        <v>2.7151117471289339E-3</v>
      </c>
    </row>
    <row r="102" spans="1:8">
      <c r="A102" s="163">
        <v>43221</v>
      </c>
      <c r="B102" s="164">
        <v>36.719481999999999</v>
      </c>
      <c r="C102" s="139">
        <f t="shared" si="2"/>
        <v>-4.8717881027004386E-3</v>
      </c>
      <c r="F102" s="165">
        <v>43221</v>
      </c>
      <c r="G102" s="166">
        <v>2705.27</v>
      </c>
      <c r="H102" s="141">
        <f t="shared" si="3"/>
        <v>2.1378202402637565E-2</v>
      </c>
    </row>
    <row r="103" spans="1:8">
      <c r="A103" s="138">
        <v>43252</v>
      </c>
      <c r="B103" s="139">
        <v>37.453865</v>
      </c>
      <c r="C103" s="139">
        <f t="shared" si="2"/>
        <v>1.9802450011421138E-2</v>
      </c>
      <c r="F103" s="167">
        <v>43252</v>
      </c>
      <c r="G103" s="168">
        <v>2718.37</v>
      </c>
      <c r="H103" s="141">
        <f t="shared" si="3"/>
        <v>4.8307134968018613E-3</v>
      </c>
    </row>
    <row r="104" spans="1:8">
      <c r="A104" s="163">
        <v>43282</v>
      </c>
      <c r="B104" s="164">
        <v>40.173920000000003</v>
      </c>
      <c r="C104" s="139">
        <f t="shared" si="2"/>
        <v>7.0108119962295601E-2</v>
      </c>
      <c r="F104" s="165">
        <v>43282</v>
      </c>
      <c r="G104" s="166">
        <v>2816.29</v>
      </c>
      <c r="H104" s="141">
        <f t="shared" si="3"/>
        <v>3.5387979976799259E-2</v>
      </c>
    </row>
    <row r="105" spans="1:8">
      <c r="A105" s="138">
        <v>43313</v>
      </c>
      <c r="B105" s="139">
        <v>38.399143000000002</v>
      </c>
      <c r="C105" s="139">
        <f t="shared" si="2"/>
        <v>-4.5182887236388511E-2</v>
      </c>
      <c r="F105" s="167">
        <v>43313</v>
      </c>
      <c r="G105" s="168">
        <v>2901.52</v>
      </c>
      <c r="H105" s="141">
        <f t="shared" si="3"/>
        <v>2.9814321663194848E-2</v>
      </c>
    </row>
    <row r="106" spans="1:8">
      <c r="A106" s="163">
        <v>43344</v>
      </c>
      <c r="B106" s="164">
        <v>39.794834000000002</v>
      </c>
      <c r="C106" s="139">
        <f t="shared" si="2"/>
        <v>3.570196323449451E-2</v>
      </c>
      <c r="F106" s="165">
        <v>43344</v>
      </c>
      <c r="G106" s="166">
        <v>2913.98</v>
      </c>
      <c r="H106" s="141">
        <f t="shared" si="3"/>
        <v>4.2851067203219049E-3</v>
      </c>
    </row>
    <row r="107" spans="1:8">
      <c r="A107" s="138">
        <v>43374</v>
      </c>
      <c r="B107" s="139">
        <v>41.601737999999997</v>
      </c>
      <c r="C107" s="139">
        <f t="shared" si="2"/>
        <v>4.440484036986108E-2</v>
      </c>
      <c r="F107" s="167">
        <v>43374</v>
      </c>
      <c r="G107" s="168">
        <v>2711.74</v>
      </c>
      <c r="H107" s="141">
        <f t="shared" si="3"/>
        <v>-7.1929349055660202E-2</v>
      </c>
    </row>
    <row r="108" spans="1:8">
      <c r="A108" s="163">
        <v>43405</v>
      </c>
      <c r="B108" s="164">
        <v>43.791302000000002</v>
      </c>
      <c r="C108" s="139">
        <f t="shared" si="2"/>
        <v>5.1293267946347247E-2</v>
      </c>
      <c r="F108" s="165">
        <v>43405</v>
      </c>
      <c r="G108" s="166">
        <v>2760.17</v>
      </c>
      <c r="H108" s="141">
        <f t="shared" si="3"/>
        <v>1.7701776759294796E-2</v>
      </c>
    </row>
    <row r="109" spans="1:8">
      <c r="A109" s="138">
        <v>43435</v>
      </c>
      <c r="B109" s="139">
        <v>41.466560000000001</v>
      </c>
      <c r="C109" s="139">
        <f t="shared" si="2"/>
        <v>-5.4547893900612918E-2</v>
      </c>
      <c r="F109" s="167">
        <v>43435</v>
      </c>
      <c r="G109" s="168">
        <v>2506.85</v>
      </c>
      <c r="H109" s="141">
        <f t="shared" si="3"/>
        <v>-9.6265287118076068E-2</v>
      </c>
    </row>
    <row r="110" spans="1:8">
      <c r="A110" s="163">
        <v>43466</v>
      </c>
      <c r="B110" s="164">
        <v>42.149639000000001</v>
      </c>
      <c r="C110" s="139">
        <f t="shared" si="2"/>
        <v>1.6338800474734398E-2</v>
      </c>
      <c r="F110" s="165">
        <v>43466</v>
      </c>
      <c r="G110" s="166">
        <v>2704.1</v>
      </c>
      <c r="H110" s="141">
        <f t="shared" si="3"/>
        <v>7.574215482837561E-2</v>
      </c>
    </row>
    <row r="111" spans="1:8">
      <c r="A111" s="138">
        <v>43497</v>
      </c>
      <c r="B111" s="139">
        <v>39.706313999999999</v>
      </c>
      <c r="C111" s="139">
        <f t="shared" si="2"/>
        <v>-5.9715901892793584E-2</v>
      </c>
      <c r="F111" s="167">
        <v>43497</v>
      </c>
      <c r="G111" s="168">
        <v>2784.49</v>
      </c>
      <c r="H111" s="141">
        <f t="shared" si="3"/>
        <v>2.9295592986693514E-2</v>
      </c>
    </row>
    <row r="112" spans="1:8">
      <c r="A112" s="163">
        <v>43525</v>
      </c>
      <c r="B112" s="164">
        <v>41.037444999999998</v>
      </c>
      <c r="C112" s="139">
        <f t="shared" si="2"/>
        <v>3.2974724720890664E-2</v>
      </c>
      <c r="F112" s="165">
        <v>43525</v>
      </c>
      <c r="G112" s="166">
        <v>2834.4</v>
      </c>
      <c r="H112" s="141">
        <f t="shared" si="3"/>
        <v>1.7765541837019908E-2</v>
      </c>
    </row>
    <row r="113" spans="1:8">
      <c r="A113" s="138">
        <v>43556</v>
      </c>
      <c r="B113" s="139">
        <v>43.339153000000003</v>
      </c>
      <c r="C113" s="139">
        <f t="shared" si="2"/>
        <v>5.457151018080985E-2</v>
      </c>
      <c r="F113" s="167">
        <v>43556</v>
      </c>
      <c r="G113" s="168">
        <v>2945.83</v>
      </c>
      <c r="H113" s="141">
        <f t="shared" si="3"/>
        <v>3.8560336443090391E-2</v>
      </c>
    </row>
    <row r="114" spans="1:8">
      <c r="A114" s="163">
        <v>43586</v>
      </c>
      <c r="B114" s="164">
        <v>43.400993</v>
      </c>
      <c r="C114" s="139">
        <f t="shared" si="2"/>
        <v>1.4258682589083083E-3</v>
      </c>
      <c r="F114" s="165">
        <v>43586</v>
      </c>
      <c r="G114" s="166">
        <v>2752.06</v>
      </c>
      <c r="H114" s="141">
        <f t="shared" si="3"/>
        <v>-6.8040888853204307E-2</v>
      </c>
    </row>
    <row r="115" spans="1:8">
      <c r="A115" s="138">
        <v>43617</v>
      </c>
      <c r="B115" s="139">
        <v>44.982250000000001</v>
      </c>
      <c r="C115" s="139">
        <f t="shared" si="2"/>
        <v>3.5785646483259159E-2</v>
      </c>
      <c r="F115" s="167">
        <v>43617</v>
      </c>
      <c r="G115" s="168">
        <v>2941.76</v>
      </c>
      <c r="H115" s="141">
        <f t="shared" si="3"/>
        <v>6.6658319534241436E-2</v>
      </c>
    </row>
    <row r="116" spans="1:8">
      <c r="A116" s="163">
        <v>43647</v>
      </c>
      <c r="B116" s="164">
        <v>46.855792999999998</v>
      </c>
      <c r="C116" s="139">
        <f t="shared" si="2"/>
        <v>4.0806683474842217E-2</v>
      </c>
      <c r="F116" s="165">
        <v>43647</v>
      </c>
      <c r="G116" s="166">
        <v>2980.38</v>
      </c>
      <c r="H116" s="141">
        <f t="shared" si="3"/>
        <v>1.3042767473010496E-2</v>
      </c>
    </row>
    <row r="117" spans="1:8">
      <c r="A117" s="138">
        <v>43678</v>
      </c>
      <c r="B117" s="139">
        <v>49.001381000000002</v>
      </c>
      <c r="C117" s="139">
        <f t="shared" si="2"/>
        <v>4.477383039989901E-2</v>
      </c>
      <c r="F117" s="167">
        <v>43678</v>
      </c>
      <c r="G117" s="168">
        <v>2926.46</v>
      </c>
      <c r="H117" s="141">
        <f t="shared" si="3"/>
        <v>-1.8257307714875135E-2</v>
      </c>
    </row>
    <row r="118" spans="1:8">
      <c r="A118" s="163">
        <v>43709</v>
      </c>
      <c r="B118" s="164">
        <v>48.467201000000003</v>
      </c>
      <c r="C118" s="139">
        <f t="shared" si="2"/>
        <v>-1.0961180257121931E-2</v>
      </c>
      <c r="F118" s="165">
        <v>43709</v>
      </c>
      <c r="G118" s="166">
        <v>2976.74</v>
      </c>
      <c r="H118" s="141">
        <f t="shared" si="3"/>
        <v>1.7035240523677681E-2</v>
      </c>
    </row>
    <row r="119" spans="1:8">
      <c r="A119" s="138">
        <v>43739</v>
      </c>
      <c r="B119" s="139">
        <v>48.812603000000003</v>
      </c>
      <c r="C119" s="139">
        <f t="shared" si="2"/>
        <v>7.1012365830935521E-3</v>
      </c>
      <c r="F119" s="167">
        <v>43739</v>
      </c>
      <c r="G119" s="168">
        <v>3037.56</v>
      </c>
      <c r="H119" s="141">
        <f t="shared" si="3"/>
        <v>2.0225819582931022E-2</v>
      </c>
    </row>
    <row r="120" spans="1:8">
      <c r="A120" s="163">
        <v>43770</v>
      </c>
      <c r="B120" s="164">
        <v>47.888905000000001</v>
      </c>
      <c r="C120" s="139">
        <f t="shared" si="2"/>
        <v>-1.9104688518529332E-2</v>
      </c>
      <c r="F120" s="165">
        <v>43770</v>
      </c>
      <c r="G120" s="166">
        <v>3140.98</v>
      </c>
      <c r="H120" s="141">
        <f t="shared" si="3"/>
        <v>3.3480291579323126E-2</v>
      </c>
    </row>
    <row r="121" spans="1:8">
      <c r="A121" s="138">
        <v>43800</v>
      </c>
      <c r="B121" s="139">
        <v>50.008429999999997</v>
      </c>
      <c r="C121" s="139">
        <f t="shared" si="2"/>
        <v>4.330774202237745E-2</v>
      </c>
      <c r="F121" s="167">
        <v>43800</v>
      </c>
      <c r="G121" s="168">
        <v>3230.78</v>
      </c>
      <c r="H121" s="141">
        <f t="shared" si="3"/>
        <v>2.818874101228944E-2</v>
      </c>
    </row>
    <row r="122" spans="1:8">
      <c r="A122" s="163">
        <v>43831</v>
      </c>
      <c r="B122" s="164">
        <v>52.764094999999998</v>
      </c>
      <c r="C122" s="139">
        <f t="shared" si="2"/>
        <v>5.3639349238306495E-2</v>
      </c>
      <c r="F122" s="165">
        <v>43831</v>
      </c>
      <c r="G122" s="166">
        <v>3225.52</v>
      </c>
      <c r="H122" s="141">
        <f t="shared" si="3"/>
        <v>-1.6294165896177356E-3</v>
      </c>
    </row>
    <row r="123" spans="1:8">
      <c r="A123" s="138">
        <v>43862</v>
      </c>
      <c r="B123" s="139">
        <v>48.327933999999999</v>
      </c>
      <c r="C123" s="139">
        <f t="shared" si="2"/>
        <v>-8.7821203287498054E-2</v>
      </c>
      <c r="F123" s="167">
        <v>43862</v>
      </c>
      <c r="G123" s="168">
        <v>2954.22</v>
      </c>
      <c r="H123" s="141">
        <f t="shared" si="3"/>
        <v>-8.7859520936204846E-2</v>
      </c>
    </row>
    <row r="124" spans="1:8">
      <c r="A124" s="163">
        <v>43891</v>
      </c>
      <c r="B124" s="164">
        <v>39.979641000000001</v>
      </c>
      <c r="C124" s="139">
        <f t="shared" si="2"/>
        <v>-0.18963938762537852</v>
      </c>
      <c r="F124" s="165">
        <v>43891</v>
      </c>
      <c r="G124" s="166">
        <v>2584.59</v>
      </c>
      <c r="H124" s="141">
        <f t="shared" si="3"/>
        <v>-0.13366776859296695</v>
      </c>
    </row>
    <row r="125" spans="1:8">
      <c r="A125" s="138">
        <v>43922</v>
      </c>
      <c r="B125" s="139">
        <v>41.824992999999999</v>
      </c>
      <c r="C125" s="139">
        <f t="shared" si="2"/>
        <v>4.5123729966663681E-2</v>
      </c>
      <c r="F125" s="167">
        <v>43922</v>
      </c>
      <c r="G125" s="168">
        <v>2912.43</v>
      </c>
      <c r="H125" s="141">
        <f t="shared" si="3"/>
        <v>0.11942089623740584</v>
      </c>
    </row>
    <row r="126" spans="1:8">
      <c r="A126" s="163">
        <v>43952</v>
      </c>
      <c r="B126" s="164">
        <v>42.545017000000001</v>
      </c>
      <c r="C126" s="139">
        <f t="shared" si="2"/>
        <v>1.706865936950255E-2</v>
      </c>
      <c r="F126" s="165">
        <v>43952</v>
      </c>
      <c r="G126" s="166">
        <v>3044.31</v>
      </c>
      <c r="H126" s="141">
        <f t="shared" si="3"/>
        <v>4.4286490230530599E-2</v>
      </c>
    </row>
    <row r="127" spans="1:8">
      <c r="A127" s="138">
        <v>43983</v>
      </c>
      <c r="B127" s="139">
        <v>40.722178999999997</v>
      </c>
      <c r="C127" s="139">
        <f t="shared" si="2"/>
        <v>-4.3789856279977585E-2</v>
      </c>
      <c r="F127" s="167">
        <v>43983</v>
      </c>
      <c r="G127" s="168">
        <v>3100.29</v>
      </c>
      <c r="H127" s="141">
        <f t="shared" si="3"/>
        <v>1.8221381004063585E-2</v>
      </c>
    </row>
    <row r="128" spans="1:8">
      <c r="A128" s="163">
        <v>44013</v>
      </c>
      <c r="B128" s="164">
        <v>43.446564000000002</v>
      </c>
      <c r="C128" s="139">
        <f t="shared" si="2"/>
        <v>6.4758886584467379E-2</v>
      </c>
      <c r="F128" s="165">
        <v>44013</v>
      </c>
      <c r="G128" s="166">
        <v>3271.12</v>
      </c>
      <c r="H128" s="141">
        <f t="shared" si="3"/>
        <v>5.3636778409248576E-2</v>
      </c>
    </row>
    <row r="129" spans="1:8">
      <c r="A129" s="138">
        <v>44044</v>
      </c>
      <c r="B129" s="139">
        <v>45.552669999999999</v>
      </c>
      <c r="C129" s="139">
        <f t="shared" si="2"/>
        <v>4.7337469709714905E-2</v>
      </c>
      <c r="F129" s="167">
        <v>44044</v>
      </c>
      <c r="G129" s="168">
        <v>3500.31</v>
      </c>
      <c r="H129" s="141">
        <f t="shared" si="3"/>
        <v>6.7719102089653677E-2</v>
      </c>
    </row>
    <row r="130" spans="1:8">
      <c r="A130" s="163">
        <v>44075</v>
      </c>
      <c r="B130" s="164">
        <v>45.405513999999997</v>
      </c>
      <c r="C130" s="139">
        <f t="shared" si="2"/>
        <v>-3.2356874756775105E-3</v>
      </c>
      <c r="F130" s="165">
        <v>44075</v>
      </c>
      <c r="G130" s="166">
        <v>3363</v>
      </c>
      <c r="H130" s="141">
        <f t="shared" si="3"/>
        <v>-4.0018103243589488E-2</v>
      </c>
    </row>
    <row r="131" spans="1:8">
      <c r="A131" s="138">
        <v>44105</v>
      </c>
      <c r="B131" s="139">
        <v>44.558501999999997</v>
      </c>
      <c r="C131" s="139">
        <f t="shared" si="2"/>
        <v>-1.8830573957197162E-2</v>
      </c>
      <c r="F131" s="167">
        <v>44105</v>
      </c>
      <c r="G131" s="168">
        <v>3269.96</v>
      </c>
      <c r="H131" s="141">
        <f t="shared" si="3"/>
        <v>-2.8055680339689231E-2</v>
      </c>
    </row>
    <row r="132" spans="1:8">
      <c r="A132" s="163">
        <v>44136</v>
      </c>
      <c r="B132" s="164">
        <v>47.840591000000003</v>
      </c>
      <c r="C132" s="139">
        <f t="shared" si="2"/>
        <v>7.1071485785310418E-2</v>
      </c>
      <c r="F132" s="165">
        <v>44136</v>
      </c>
      <c r="G132" s="166">
        <v>3621.63</v>
      </c>
      <c r="H132" s="141">
        <f t="shared" si="3"/>
        <v>0.10214644831840361</v>
      </c>
    </row>
    <row r="133" spans="1:8">
      <c r="A133" s="138">
        <v>44166</v>
      </c>
      <c r="B133" s="139">
        <v>51.243206000000001</v>
      </c>
      <c r="C133" s="139">
        <f t="shared" si="2"/>
        <v>6.8708580132229607E-2</v>
      </c>
      <c r="F133" s="167">
        <v>44166</v>
      </c>
      <c r="G133" s="168">
        <v>3756.07</v>
      </c>
      <c r="H133" s="141">
        <f t="shared" si="3"/>
        <v>3.6448997283216107E-2</v>
      </c>
    </row>
    <row r="134" spans="1:8">
      <c r="A134" s="163">
        <v>44197</v>
      </c>
      <c r="B134" s="164">
        <v>44.991985</v>
      </c>
      <c r="C134" s="139">
        <f t="shared" si="2"/>
        <v>-0.13009868058168861</v>
      </c>
      <c r="F134" s="165">
        <v>44197</v>
      </c>
      <c r="G134" s="166">
        <v>3714.24</v>
      </c>
      <c r="H134" s="141">
        <f t="shared" si="3"/>
        <v>-1.1199116821942242E-2</v>
      </c>
    </row>
    <row r="135" spans="1:8">
      <c r="A135" s="138">
        <v>44228</v>
      </c>
      <c r="B135" s="139">
        <v>45.776893999999999</v>
      </c>
      <c r="C135" s="139">
        <f t="shared" si="2"/>
        <v>1.7295103206163315E-2</v>
      </c>
      <c r="F135" s="167">
        <v>44228</v>
      </c>
      <c r="G135" s="168">
        <v>3811.15</v>
      </c>
      <c r="H135" s="141">
        <f t="shared" si="3"/>
        <v>2.5756899667125591E-2</v>
      </c>
    </row>
    <row r="136" spans="1:8">
      <c r="A136" s="163">
        <v>44256</v>
      </c>
      <c r="B136" s="164">
        <v>49.252907</v>
      </c>
      <c r="C136" s="139">
        <f t="shared" ref="C136:C161" si="4">LN(B136/B135)</f>
        <v>7.3188925255174911E-2</v>
      </c>
      <c r="F136" s="165">
        <v>44256</v>
      </c>
      <c r="G136" s="166">
        <v>3972.89</v>
      </c>
      <c r="H136" s="141">
        <f t="shared" ref="H136:H161" si="5">LN(G136/G135)</f>
        <v>4.1562808697442971E-2</v>
      </c>
    </row>
    <row r="137" spans="1:8">
      <c r="A137" s="138">
        <v>44287</v>
      </c>
      <c r="B137" s="139">
        <v>50.859439999999999</v>
      </c>
      <c r="C137" s="139">
        <f t="shared" si="4"/>
        <v>3.2097358059095832E-2</v>
      </c>
      <c r="F137" s="167">
        <v>44287</v>
      </c>
      <c r="G137" s="168">
        <v>4181.17</v>
      </c>
      <c r="H137" s="141">
        <f t="shared" si="5"/>
        <v>5.1097322114293922E-2</v>
      </c>
    </row>
    <row r="138" spans="1:8">
      <c r="A138" s="163">
        <v>44317</v>
      </c>
      <c r="B138" s="164">
        <v>52.093711999999996</v>
      </c>
      <c r="C138" s="139">
        <f t="shared" si="4"/>
        <v>2.3978501180717027E-2</v>
      </c>
      <c r="F138" s="165">
        <v>44317</v>
      </c>
      <c r="G138" s="166">
        <v>4204.1099999999997</v>
      </c>
      <c r="H138" s="141">
        <f t="shared" si="5"/>
        <v>5.4715065520221503E-3</v>
      </c>
    </row>
    <row r="139" spans="1:8">
      <c r="A139" s="138">
        <v>44348</v>
      </c>
      <c r="B139" s="139">
        <v>50.981926000000001</v>
      </c>
      <c r="C139" s="139">
        <f t="shared" si="4"/>
        <v>-2.157307274096992E-2</v>
      </c>
      <c r="F139" s="167">
        <v>44348</v>
      </c>
      <c r="G139" s="168">
        <v>4297.5</v>
      </c>
      <c r="H139" s="141">
        <f t="shared" si="5"/>
        <v>2.1970840045862021E-2</v>
      </c>
    </row>
    <row r="140" spans="1:8">
      <c r="A140" s="163">
        <v>44378</v>
      </c>
      <c r="B140" s="164">
        <v>54.137999999999998</v>
      </c>
      <c r="C140" s="139">
        <f t="shared" si="4"/>
        <v>6.0065164484696468E-2</v>
      </c>
      <c r="F140" s="165">
        <v>44378</v>
      </c>
      <c r="G140" s="166">
        <v>4395.26</v>
      </c>
      <c r="H140" s="141">
        <f t="shared" si="5"/>
        <v>2.249322924674322E-2</v>
      </c>
    </row>
    <row r="141" spans="1:8">
      <c r="A141" s="138">
        <v>44409</v>
      </c>
      <c r="B141" s="139">
        <v>53.454514000000003</v>
      </c>
      <c r="C141" s="139">
        <f t="shared" si="4"/>
        <v>-1.2705255575709468E-2</v>
      </c>
      <c r="F141" s="167">
        <v>44409</v>
      </c>
      <c r="G141" s="168">
        <v>4522.68</v>
      </c>
      <c r="H141" s="141">
        <f t="shared" si="5"/>
        <v>2.857805096868915E-2</v>
      </c>
    </row>
    <row r="142" spans="1:8">
      <c r="A142" s="163">
        <v>44440</v>
      </c>
      <c r="B142" s="164">
        <v>49.809238000000001</v>
      </c>
      <c r="C142" s="139">
        <f t="shared" si="4"/>
        <v>-7.0630617829439787E-2</v>
      </c>
      <c r="F142" s="165">
        <v>44440</v>
      </c>
      <c r="G142" s="166">
        <v>4307.54</v>
      </c>
      <c r="H142" s="141">
        <f t="shared" si="5"/>
        <v>-4.8737762984622721E-2</v>
      </c>
    </row>
    <row r="143" spans="1:8">
      <c r="A143" s="138">
        <v>44470</v>
      </c>
      <c r="B143" s="139">
        <v>53.915329</v>
      </c>
      <c r="C143" s="139">
        <f t="shared" si="4"/>
        <v>7.9214365678052054E-2</v>
      </c>
      <c r="F143" s="167">
        <v>44470</v>
      </c>
      <c r="G143" s="168">
        <v>4605.38</v>
      </c>
      <c r="H143" s="141">
        <f t="shared" si="5"/>
        <v>6.6858209798173654E-2</v>
      </c>
    </row>
    <row r="144" spans="1:8">
      <c r="A144" s="163">
        <v>44501</v>
      </c>
      <c r="B144" s="164">
        <v>50.166030999999997</v>
      </c>
      <c r="C144" s="139">
        <f t="shared" si="4"/>
        <v>-7.2076710169125369E-2</v>
      </c>
      <c r="F144" s="165">
        <v>44501</v>
      </c>
      <c r="G144" s="166">
        <v>4567</v>
      </c>
      <c r="H144" s="141">
        <f t="shared" si="5"/>
        <v>-8.3686511009886007E-3</v>
      </c>
    </row>
    <row r="145" spans="1:8">
      <c r="A145" s="138">
        <v>44531</v>
      </c>
      <c r="B145" s="139">
        <v>57.070830999999998</v>
      </c>
      <c r="C145" s="139">
        <f t="shared" si="4"/>
        <v>0.12895502116376764</v>
      </c>
      <c r="F145" s="167">
        <v>44531</v>
      </c>
      <c r="G145" s="168">
        <v>4766.18</v>
      </c>
      <c r="H145" s="141">
        <f t="shared" si="5"/>
        <v>4.2688611280446646E-2</v>
      </c>
    </row>
    <row r="146" spans="1:8">
      <c r="A146" s="163">
        <v>44562</v>
      </c>
      <c r="B146" s="164">
        <v>58.805793999999999</v>
      </c>
      <c r="C146" s="139">
        <f t="shared" si="4"/>
        <v>2.9947241957091371E-2</v>
      </c>
      <c r="F146" s="165">
        <v>44562</v>
      </c>
      <c r="G146" s="166">
        <v>4515.55</v>
      </c>
      <c r="H146" s="141">
        <f t="shared" si="5"/>
        <v>-5.401814986501885E-2</v>
      </c>
    </row>
    <row r="147" spans="1:8">
      <c r="A147" s="138">
        <v>44593</v>
      </c>
      <c r="B147" s="139">
        <v>59.991363999999997</v>
      </c>
      <c r="C147" s="139">
        <f t="shared" si="4"/>
        <v>1.9960231064316086E-2</v>
      </c>
      <c r="F147" s="167">
        <v>44593</v>
      </c>
      <c r="G147" s="168">
        <v>4373.79</v>
      </c>
      <c r="H147" s="141">
        <f t="shared" si="5"/>
        <v>-3.1897085490214111E-2</v>
      </c>
    </row>
    <row r="148" spans="1:8">
      <c r="A148" s="163">
        <v>44621</v>
      </c>
      <c r="B148" s="164">
        <v>59.760024999999999</v>
      </c>
      <c r="C148" s="139">
        <f t="shared" si="4"/>
        <v>-3.8636593648699313E-3</v>
      </c>
      <c r="F148" s="165">
        <v>44621</v>
      </c>
      <c r="G148" s="166">
        <v>4530.41</v>
      </c>
      <c r="H148" s="141">
        <f t="shared" si="5"/>
        <v>3.5182532997559336E-2</v>
      </c>
    </row>
    <row r="149" spans="1:8">
      <c r="A149" s="138">
        <v>44652</v>
      </c>
      <c r="B149" s="139">
        <v>62.752437999999998</v>
      </c>
      <c r="C149" s="139">
        <f t="shared" si="4"/>
        <v>4.8860470682291157E-2</v>
      </c>
      <c r="F149" s="167">
        <v>44652</v>
      </c>
      <c r="G149" s="168">
        <v>4131.93</v>
      </c>
      <c r="H149" s="141">
        <f t="shared" si="5"/>
        <v>-9.2067832960435178E-2</v>
      </c>
    </row>
    <row r="150" spans="1:8">
      <c r="A150" s="163">
        <v>44682</v>
      </c>
      <c r="B150" s="164">
        <v>61.557808000000001</v>
      </c>
      <c r="C150" s="139">
        <f t="shared" si="4"/>
        <v>-1.922072904743918E-2</v>
      </c>
      <c r="F150" s="165">
        <v>44682</v>
      </c>
      <c r="G150" s="166">
        <v>4132.1499999999996</v>
      </c>
      <c r="H150" s="141">
        <f t="shared" si="5"/>
        <v>5.3242466203463356E-5</v>
      </c>
    </row>
    <row r="151" spans="1:8">
      <c r="A151" s="138">
        <v>44713</v>
      </c>
      <c r="B151" s="139">
        <v>61.101317999999999</v>
      </c>
      <c r="C151" s="139">
        <f t="shared" si="4"/>
        <v>-7.443263659695702E-3</v>
      </c>
      <c r="F151" s="167">
        <v>44713</v>
      </c>
      <c r="G151" s="168">
        <v>3785.38</v>
      </c>
      <c r="H151" s="141">
        <f t="shared" si="5"/>
        <v>-8.7651574480173397E-2</v>
      </c>
    </row>
    <row r="152" spans="1:8">
      <c r="A152" s="163">
        <v>44743</v>
      </c>
      <c r="B152" s="164">
        <v>62.775387000000002</v>
      </c>
      <c r="C152" s="139">
        <f t="shared" si="4"/>
        <v>2.7029632759540484E-2</v>
      </c>
      <c r="F152" s="165">
        <v>44743</v>
      </c>
      <c r="G152" s="166">
        <v>4130.29</v>
      </c>
      <c r="H152" s="141">
        <f t="shared" si="5"/>
        <v>8.7201344274224588E-2</v>
      </c>
    </row>
    <row r="153" spans="1:8">
      <c r="A153" s="138">
        <v>44774</v>
      </c>
      <c r="B153" s="139">
        <v>60.368850999999999</v>
      </c>
      <c r="C153" s="139">
        <f t="shared" si="4"/>
        <v>-3.9089809904088023E-2</v>
      </c>
      <c r="F153" s="167">
        <v>44774</v>
      </c>
      <c r="G153" s="168">
        <v>3955</v>
      </c>
      <c r="H153" s="141">
        <f t="shared" si="5"/>
        <v>-4.3367021205837172E-2</v>
      </c>
    </row>
    <row r="154" spans="1:8">
      <c r="A154" s="163">
        <v>44805</v>
      </c>
      <c r="B154" s="164">
        <v>54.802512999999998</v>
      </c>
      <c r="C154" s="139">
        <f t="shared" si="4"/>
        <v>-9.6737209428337051E-2</v>
      </c>
      <c r="F154" s="165">
        <v>44805</v>
      </c>
      <c r="G154" s="166">
        <v>3585.62</v>
      </c>
      <c r="H154" s="141">
        <f t="shared" si="5"/>
        <v>-9.8049199303624351E-2</v>
      </c>
    </row>
    <row r="155" spans="1:8">
      <c r="A155" s="138">
        <v>44835</v>
      </c>
      <c r="B155" s="139">
        <v>58.976143</v>
      </c>
      <c r="C155" s="139">
        <f t="shared" si="4"/>
        <v>7.3396955632838656E-2</v>
      </c>
      <c r="F155" s="167">
        <v>44835</v>
      </c>
      <c r="G155" s="168">
        <v>3871.98</v>
      </c>
      <c r="H155" s="141">
        <f t="shared" si="5"/>
        <v>7.6834602195741328E-2</v>
      </c>
    </row>
    <row r="156" spans="1:8">
      <c r="A156" s="163">
        <v>44866</v>
      </c>
      <c r="B156" s="164">
        <v>62.681247999999997</v>
      </c>
      <c r="C156" s="139">
        <f t="shared" si="4"/>
        <v>6.0929321747300966E-2</v>
      </c>
      <c r="F156" s="165">
        <v>44866</v>
      </c>
      <c r="G156" s="166">
        <v>4080.11</v>
      </c>
      <c r="H156" s="141">
        <f t="shared" si="5"/>
        <v>5.2357944725214406E-2</v>
      </c>
    </row>
    <row r="157" spans="1:8">
      <c r="A157" s="138">
        <v>44896</v>
      </c>
      <c r="B157" s="139">
        <v>63.125793000000002</v>
      </c>
      <c r="C157" s="139">
        <f t="shared" si="4"/>
        <v>7.0671219459431328E-3</v>
      </c>
      <c r="F157" s="167">
        <v>44896</v>
      </c>
      <c r="G157" s="168">
        <v>3839.5</v>
      </c>
      <c r="H157" s="141">
        <f t="shared" si="5"/>
        <v>-6.0781799048487496E-2</v>
      </c>
    </row>
    <row r="158" spans="1:8">
      <c r="A158" s="163">
        <v>44927</v>
      </c>
      <c r="B158" s="164">
        <v>60.853225999999999</v>
      </c>
      <c r="C158" s="139">
        <f t="shared" si="4"/>
        <v>-3.6664616252436194E-2</v>
      </c>
      <c r="F158" s="165">
        <v>44927</v>
      </c>
      <c r="G158" s="166">
        <v>4076.6</v>
      </c>
      <c r="H158" s="141">
        <f t="shared" si="5"/>
        <v>5.9921157879031649E-2</v>
      </c>
    </row>
    <row r="159" spans="1:8">
      <c r="A159" s="138">
        <v>44958</v>
      </c>
      <c r="B159" s="139">
        <v>59.057003000000002</v>
      </c>
      <c r="C159" s="139">
        <f t="shared" si="4"/>
        <v>-2.9961703617293584E-2</v>
      </c>
      <c r="F159" s="167">
        <v>44958</v>
      </c>
      <c r="G159" s="168">
        <v>3970.15</v>
      </c>
      <c r="H159" s="141">
        <f t="shared" si="5"/>
        <v>-2.645943030685264E-2</v>
      </c>
    </row>
    <row r="160" spans="1:8">
      <c r="A160" s="163">
        <v>44986</v>
      </c>
      <c r="B160" s="164">
        <v>61.557819000000002</v>
      </c>
      <c r="C160" s="139">
        <f t="shared" si="4"/>
        <v>4.1473749470033683E-2</v>
      </c>
      <c r="F160" s="165">
        <v>44986</v>
      </c>
      <c r="G160" s="166">
        <v>4109.3100000000004</v>
      </c>
      <c r="H160" s="141">
        <f t="shared" si="5"/>
        <v>3.4451253841860437E-2</v>
      </c>
    </row>
    <row r="161" spans="1:8">
      <c r="A161" s="169">
        <v>45017</v>
      </c>
      <c r="B161" s="170">
        <v>64.150002000000001</v>
      </c>
      <c r="C161" s="139">
        <f t="shared" si="4"/>
        <v>4.1247242745414608E-2</v>
      </c>
      <c r="F161" s="171">
        <v>45017</v>
      </c>
      <c r="G161" s="172">
        <v>4169.4799999999996</v>
      </c>
      <c r="H161" s="141">
        <f t="shared" si="5"/>
        <v>1.4536196592679839E-2</v>
      </c>
    </row>
  </sheetData>
  <mergeCells count="2">
    <mergeCell ref="A2:C2"/>
    <mergeCell ref="F2:H2"/>
  </mergeCells>
  <hyperlinks>
    <hyperlink ref="F2:H2" r:id="rId1" display="Return S&amp;P 500" xr:uid="{558C1BC8-522E-4BF4-8876-5BCCCB1E2B1C}"/>
    <hyperlink ref="A2:C2" r:id="rId2" display="Return coca cola " xr:uid="{5AEC385B-E868-4C91-9087-978AB046E823}"/>
  </hyperlinks>
  <pageMargins left="0.7" right="0.7" top="0.75" bottom="0.75" header="0.3" footer="0.3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FE37E-B03D-46F2-B489-C3186E779EFE}">
  <dimension ref="B1:J13"/>
  <sheetViews>
    <sheetView tabSelected="1" topLeftCell="C1" zoomScale="83" zoomScaleNormal="56" workbookViewId="0">
      <selection activeCell="F18" sqref="F18"/>
    </sheetView>
  </sheetViews>
  <sheetFormatPr defaultRowHeight="14.4"/>
  <cols>
    <col min="2" max="2" width="19.109375" bestFit="1" customWidth="1"/>
    <col min="3" max="3" width="15.21875" bestFit="1" customWidth="1"/>
    <col min="4" max="4" width="13.109375" customWidth="1"/>
    <col min="5" max="5" width="12.77734375" customWidth="1"/>
    <col min="6" max="6" width="15.5546875" customWidth="1"/>
    <col min="7" max="7" width="16.88671875" customWidth="1"/>
    <col min="8" max="8" width="21.5546875" customWidth="1"/>
    <col min="9" max="9" width="13.44140625" customWidth="1"/>
    <col min="10" max="10" width="12.21875" customWidth="1"/>
  </cols>
  <sheetData>
    <row r="1" spans="2:10" ht="15" thickBot="1"/>
    <row r="2" spans="2:10" ht="17.399999999999999" thickBot="1">
      <c r="B2" s="173" t="s">
        <v>204</v>
      </c>
      <c r="C2" s="174">
        <v>45056</v>
      </c>
      <c r="D2" s="4"/>
      <c r="E2" s="4"/>
      <c r="F2" s="4"/>
      <c r="G2" s="4"/>
      <c r="H2" s="4"/>
      <c r="I2" s="4"/>
      <c r="J2" s="4"/>
    </row>
    <row r="3" spans="2:10" ht="16.8">
      <c r="B3" s="4"/>
      <c r="C3" s="4"/>
      <c r="D3" s="4"/>
      <c r="E3" s="4"/>
      <c r="F3" s="4"/>
      <c r="G3" s="4"/>
      <c r="H3" s="4"/>
      <c r="I3" s="4"/>
      <c r="J3" s="4"/>
    </row>
    <row r="4" spans="2:10">
      <c r="E4" s="26"/>
    </row>
    <row r="5" spans="2:10">
      <c r="E5" s="26"/>
    </row>
    <row r="6" spans="2:10">
      <c r="B6" s="209" t="s">
        <v>267</v>
      </c>
      <c r="C6" s="204" t="s">
        <v>202</v>
      </c>
      <c r="D6" s="204" t="s">
        <v>203</v>
      </c>
      <c r="E6" s="204" t="s">
        <v>201</v>
      </c>
      <c r="F6" s="204" t="s">
        <v>205</v>
      </c>
      <c r="G6" s="204" t="s">
        <v>263</v>
      </c>
      <c r="H6" s="204" t="s">
        <v>264</v>
      </c>
      <c r="I6" s="204" t="s">
        <v>265</v>
      </c>
      <c r="J6" s="204" t="s">
        <v>266</v>
      </c>
    </row>
    <row r="7" spans="2:10">
      <c r="B7" s="121"/>
      <c r="C7" s="205"/>
      <c r="D7" s="205"/>
      <c r="E7" s="205"/>
      <c r="F7" s="205"/>
      <c r="G7" s="205"/>
      <c r="H7" s="205"/>
      <c r="I7" s="205"/>
      <c r="J7" s="205"/>
    </row>
    <row r="8" spans="2:10">
      <c r="B8" s="210" t="s">
        <v>268</v>
      </c>
      <c r="C8" s="206">
        <v>1.8749999999999999E-2</v>
      </c>
      <c r="D8" s="207">
        <v>45607</v>
      </c>
      <c r="E8" s="205">
        <v>600</v>
      </c>
      <c r="F8" s="205">
        <f>E8/$E$13</f>
        <v>0.20689655172413793</v>
      </c>
      <c r="G8" s="205">
        <f>(D8-$C$2)/365</f>
        <v>1.5095890410958903</v>
      </c>
      <c r="H8" s="205">
        <f>G8*F8-1</f>
        <v>-0.68767123287671228</v>
      </c>
      <c r="I8" s="205"/>
      <c r="J8" s="205"/>
    </row>
    <row r="9" spans="2:10" ht="15" thickBot="1">
      <c r="B9" s="211" t="s">
        <v>269</v>
      </c>
      <c r="C9" s="212">
        <v>2.75E-2</v>
      </c>
      <c r="D9" s="213">
        <v>45923</v>
      </c>
      <c r="E9" s="214">
        <v>500</v>
      </c>
      <c r="F9" s="214">
        <f t="shared" ref="F9:F13" si="0">E9/$E$13</f>
        <v>0.17241379310344829</v>
      </c>
      <c r="G9" s="214">
        <f t="shared" ref="G9:G12" si="1">(D9-$C$2)/365</f>
        <v>2.3753424657534246</v>
      </c>
      <c r="H9" s="214">
        <f>F9*G9</f>
        <v>0.40954180444024563</v>
      </c>
      <c r="I9" s="214"/>
      <c r="J9" s="214"/>
    </row>
    <row r="10" spans="2:10" ht="15" thickBot="1">
      <c r="B10" s="219" t="s">
        <v>270</v>
      </c>
      <c r="C10" s="220">
        <v>0.01</v>
      </c>
      <c r="D10" s="221">
        <v>46521</v>
      </c>
      <c r="E10" s="222">
        <v>700</v>
      </c>
      <c r="F10" s="222">
        <f t="shared" si="0"/>
        <v>0.2413793103448276</v>
      </c>
      <c r="G10" s="223">
        <f t="shared" si="1"/>
        <v>4.0136986301369859</v>
      </c>
      <c r="H10" s="222">
        <f t="shared" ref="H10:H12" si="2">F10*G10</f>
        <v>0.96882380727444495</v>
      </c>
      <c r="I10" s="224">
        <v>3.677</v>
      </c>
      <c r="J10" s="225">
        <v>82.8</v>
      </c>
    </row>
    <row r="11" spans="2:10">
      <c r="B11" s="215" t="s">
        <v>271</v>
      </c>
      <c r="C11" s="216">
        <v>6.2500000000000003E-3</v>
      </c>
      <c r="D11" s="217">
        <v>47443</v>
      </c>
      <c r="E11" s="218">
        <v>500</v>
      </c>
      <c r="F11" s="218">
        <f t="shared" si="0"/>
        <v>0.17241379310344829</v>
      </c>
      <c r="G11" s="218">
        <f t="shared" si="1"/>
        <v>6.5397260273972604</v>
      </c>
      <c r="H11" s="218">
        <f t="shared" si="2"/>
        <v>1.1275389702409071</v>
      </c>
      <c r="I11" s="218"/>
      <c r="J11" s="218"/>
    </row>
    <row r="12" spans="2:10">
      <c r="B12" s="210" t="s">
        <v>272</v>
      </c>
      <c r="C12" s="206">
        <v>1.6250000000000001E-2</v>
      </c>
      <c r="D12" s="207">
        <v>47982</v>
      </c>
      <c r="E12" s="205">
        <v>600</v>
      </c>
      <c r="F12" s="205">
        <f t="shared" si="0"/>
        <v>0.20689655172413793</v>
      </c>
      <c r="G12" s="205">
        <f t="shared" si="1"/>
        <v>8.0164383561643842</v>
      </c>
      <c r="H12" s="205">
        <f t="shared" si="2"/>
        <v>1.6585734529995277</v>
      </c>
      <c r="I12" s="205"/>
      <c r="J12" s="205"/>
    </row>
    <row r="13" spans="2:10">
      <c r="B13" s="205"/>
      <c r="C13" s="205"/>
      <c r="D13" s="205"/>
      <c r="E13" s="205">
        <f>SUM(E8:E12)</f>
        <v>2900</v>
      </c>
      <c r="F13" s="205">
        <f t="shared" si="0"/>
        <v>1</v>
      </c>
      <c r="G13" s="205"/>
      <c r="H13" s="208">
        <f>SUM(H8:H12)</f>
        <v>3.4768068020784133</v>
      </c>
      <c r="I13" s="205"/>
      <c r="J13" s="205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70778-4DBE-4D5F-B858-7BA8C11D05FD}">
  <dimension ref="A2:K55"/>
  <sheetViews>
    <sheetView zoomScale="87" workbookViewId="0">
      <selection activeCell="B25" sqref="B25"/>
    </sheetView>
  </sheetViews>
  <sheetFormatPr defaultRowHeight="14.4"/>
  <cols>
    <col min="1" max="1" width="25" bestFit="1" customWidth="1"/>
    <col min="2" max="2" width="38.44140625" customWidth="1"/>
    <col min="3" max="3" width="47.33203125" bestFit="1" customWidth="1"/>
    <col min="4" max="4" width="21.109375" bestFit="1" customWidth="1"/>
    <col min="6" max="6" width="18.77734375" bestFit="1" customWidth="1"/>
    <col min="7" max="11" width="20.33203125" bestFit="1" customWidth="1"/>
  </cols>
  <sheetData>
    <row r="2" spans="1:4">
      <c r="A2" s="160" t="s">
        <v>187</v>
      </c>
      <c r="B2" s="160" t="s">
        <v>188</v>
      </c>
    </row>
    <row r="3" spans="1:4">
      <c r="A3" s="160" t="s">
        <v>35</v>
      </c>
      <c r="B3" s="175">
        <f>'Income statement'!H16*1000000</f>
        <v>882000000</v>
      </c>
    </row>
    <row r="4" spans="1:4">
      <c r="A4" s="160" t="s">
        <v>189</v>
      </c>
      <c r="B4" s="175">
        <f>'Balance sheet'!H39*1000000</f>
        <v>66937000000</v>
      </c>
    </row>
    <row r="5" spans="1:4">
      <c r="A5" s="160" t="s">
        <v>210</v>
      </c>
      <c r="B5" s="176">
        <v>0.18</v>
      </c>
    </row>
    <row r="6" spans="1:4">
      <c r="A6" s="177" t="s">
        <v>187</v>
      </c>
      <c r="B6" s="178">
        <f>(B3*(1-B5))/B4</f>
        <v>1.0804786590376024E-2</v>
      </c>
      <c r="D6" s="28"/>
    </row>
    <row r="7" spans="1:4">
      <c r="A7" s="126"/>
      <c r="B7" s="126"/>
    </row>
    <row r="8" spans="1:4">
      <c r="A8" s="126"/>
      <c r="B8" s="126"/>
    </row>
    <row r="9" spans="1:4">
      <c r="A9" s="160" t="s">
        <v>193</v>
      </c>
      <c r="B9" s="160" t="s">
        <v>194</v>
      </c>
    </row>
    <row r="10" spans="1:4">
      <c r="A10" s="161" t="s">
        <v>191</v>
      </c>
      <c r="B10" s="179">
        <f>'return &amp; beta '!K25</f>
        <v>0.10502108798875204</v>
      </c>
    </row>
    <row r="11" spans="1:4">
      <c r="A11" s="161" t="s">
        <v>192</v>
      </c>
      <c r="B11" s="180">
        <f>'Risk free rate'!M4</f>
        <v>3.857E-2</v>
      </c>
    </row>
    <row r="12" spans="1:4">
      <c r="A12" s="161" t="s">
        <v>196</v>
      </c>
      <c r="B12" s="179">
        <f>B10-B11</f>
        <v>6.6451087988752044E-2</v>
      </c>
    </row>
    <row r="13" spans="1:4">
      <c r="A13" s="160" t="s">
        <v>195</v>
      </c>
      <c r="B13" s="179">
        <f>'return &amp; beta '!O6</f>
        <v>0.43288022993804787</v>
      </c>
    </row>
    <row r="14" spans="1:4">
      <c r="A14" s="177" t="s">
        <v>193</v>
      </c>
      <c r="B14" s="178">
        <f>B11+B12*B13</f>
        <v>6.7335362248204439E-2</v>
      </c>
    </row>
    <row r="15" spans="1:4">
      <c r="A15" s="126"/>
      <c r="B15" s="126"/>
    </row>
    <row r="16" spans="1:4">
      <c r="A16" s="126"/>
      <c r="B16" s="126"/>
    </row>
    <row r="17" spans="1:11">
      <c r="A17" s="160" t="s">
        <v>197</v>
      </c>
      <c r="B17" s="160" t="s">
        <v>198</v>
      </c>
    </row>
    <row r="18" spans="1:11">
      <c r="A18" s="160" t="s">
        <v>199</v>
      </c>
      <c r="B18" s="175">
        <f>'Income statement'!H27</f>
        <v>4328</v>
      </c>
    </row>
    <row r="19" spans="1:11">
      <c r="A19" s="160" t="s">
        <v>237</v>
      </c>
      <c r="B19" s="181">
        <v>63.5</v>
      </c>
    </row>
    <row r="20" spans="1:11">
      <c r="A20" s="177" t="s">
        <v>197</v>
      </c>
      <c r="B20" s="182">
        <f>B18*B19*100000</f>
        <v>27482800000</v>
      </c>
      <c r="C20" s="29"/>
    </row>
    <row r="21" spans="1:11">
      <c r="A21" s="126"/>
      <c r="B21" s="126"/>
      <c r="F21" s="43"/>
      <c r="G21" s="25"/>
      <c r="H21" s="25"/>
      <c r="I21" s="25"/>
      <c r="J21" s="44"/>
      <c r="K21" s="44"/>
    </row>
    <row r="22" spans="1:11">
      <c r="A22" s="126"/>
      <c r="B22" s="126"/>
      <c r="F22" s="41"/>
      <c r="G22" s="45"/>
      <c r="H22" s="45"/>
      <c r="I22" s="45"/>
      <c r="J22" s="45"/>
      <c r="K22" s="45"/>
    </row>
    <row r="23" spans="1:11">
      <c r="A23" s="160" t="s">
        <v>200</v>
      </c>
      <c r="B23" s="181" t="s">
        <v>208</v>
      </c>
      <c r="F23" s="41"/>
      <c r="G23" s="45"/>
      <c r="H23" s="45"/>
      <c r="I23" s="45"/>
      <c r="J23" s="45"/>
      <c r="K23" s="45"/>
    </row>
    <row r="24" spans="1:11">
      <c r="A24" s="160" t="s">
        <v>222</v>
      </c>
      <c r="B24" s="175">
        <f>'debts for cost of debt'!E13</f>
        <v>2900</v>
      </c>
      <c r="C24" s="26"/>
      <c r="F24" s="46"/>
      <c r="G24" s="45"/>
      <c r="H24" s="45"/>
      <c r="I24" s="45"/>
      <c r="J24" s="45"/>
      <c r="K24" s="45"/>
    </row>
    <row r="25" spans="1:11">
      <c r="A25" s="160" t="s">
        <v>206</v>
      </c>
      <c r="B25" s="181">
        <f>'debts for cost of debt'!J10</f>
        <v>82.8</v>
      </c>
      <c r="C25" s="203"/>
      <c r="F25" s="41"/>
      <c r="G25" s="45"/>
      <c r="H25" s="45"/>
      <c r="I25" s="45"/>
      <c r="J25" s="45"/>
      <c r="K25" s="45"/>
    </row>
    <row r="26" spans="1:11">
      <c r="A26" s="177" t="s">
        <v>200</v>
      </c>
      <c r="B26" s="183">
        <f>B24*(B25/100)*1000000</f>
        <v>2401200000</v>
      </c>
      <c r="C26" s="26"/>
      <c r="F26" s="41"/>
      <c r="G26" s="45"/>
      <c r="H26" s="45"/>
      <c r="I26" s="45"/>
      <c r="J26" s="45"/>
      <c r="K26" s="45"/>
    </row>
    <row r="27" spans="1:11">
      <c r="A27" s="126"/>
      <c r="B27" s="126"/>
    </row>
    <row r="28" spans="1:11">
      <c r="A28" s="126"/>
      <c r="B28" s="126"/>
    </row>
    <row r="29" spans="1:11">
      <c r="A29" s="184" t="s">
        <v>207</v>
      </c>
      <c r="B29" s="185">
        <f>B20/(B26+B20)*B14+B26/(B26+B20)*B6*(1-B5)</f>
        <v>6.2636820556646294E-2</v>
      </c>
    </row>
    <row r="32" spans="1:11">
      <c r="C32" s="25"/>
    </row>
    <row r="38" spans="3:3">
      <c r="C38" s="25"/>
    </row>
    <row r="39" spans="3:3">
      <c r="C39" s="41"/>
    </row>
    <row r="40" spans="3:3">
      <c r="C40" s="25"/>
    </row>
    <row r="43" spans="3:3">
      <c r="C43" s="25"/>
    </row>
    <row r="44" spans="3:3">
      <c r="C44" s="25"/>
    </row>
    <row r="45" spans="3:3">
      <c r="C45" s="42"/>
    </row>
    <row r="48" spans="3:3">
      <c r="C48" s="34"/>
    </row>
    <row r="49" spans="3:4">
      <c r="C49" s="30"/>
      <c r="D49" s="31"/>
    </row>
    <row r="52" spans="3:4">
      <c r="C52" s="39"/>
    </row>
    <row r="53" spans="3:4">
      <c r="C53" s="19"/>
    </row>
    <row r="55" spans="3:4">
      <c r="C55" s="40"/>
    </row>
  </sheetData>
  <pageMargins left="0.7" right="0.7" top="0.75" bottom="0.75" header="0.3" footer="0.3"/>
  <pageSetup paperSize="9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Coca-Cola </vt:lpstr>
      <vt:lpstr>Balance sheet</vt:lpstr>
      <vt:lpstr>Income statement</vt:lpstr>
      <vt:lpstr>Cash flow statement</vt:lpstr>
      <vt:lpstr>Free cash flow</vt:lpstr>
      <vt:lpstr>Risk free rate</vt:lpstr>
      <vt:lpstr>return &amp; beta </vt:lpstr>
      <vt:lpstr>debts for cost of debt</vt:lpstr>
      <vt:lpstr>WACC</vt:lpstr>
      <vt:lpstr>Valuation &amp; Terminal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Vénus Artus</dc:creator>
  <cp:lastModifiedBy>Vénus Artus</cp:lastModifiedBy>
  <dcterms:created xsi:type="dcterms:W3CDTF">2023-05-11T13:17:30Z</dcterms:created>
  <dcterms:modified xsi:type="dcterms:W3CDTF">2023-06-27T09:06:31Z</dcterms:modified>
</cp:coreProperties>
</file>